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6215" windowHeight="7695" tabRatio="673"/>
  </bookViews>
  <sheets>
    <sheet name="รายงานผลรายจ่าย63 (2)" sheetId="1" r:id="rId1"/>
  </sheets>
  <calcPr calcId="124519"/>
</workbook>
</file>

<file path=xl/calcChain.xml><?xml version="1.0" encoding="utf-8"?>
<calcChain xmlns="http://schemas.openxmlformats.org/spreadsheetml/2006/main">
  <c r="H419" i="1"/>
  <c r="U409"/>
  <c r="U408"/>
  <c r="U407"/>
  <c r="E407"/>
  <c r="U406"/>
  <c r="R405"/>
  <c r="Q405"/>
  <c r="P405"/>
  <c r="O405"/>
  <c r="K405"/>
  <c r="J405"/>
  <c r="I405"/>
  <c r="H405"/>
  <c r="U404"/>
  <c r="U403"/>
  <c r="U402"/>
  <c r="S402"/>
  <c r="U401"/>
  <c r="S401"/>
  <c r="U400"/>
  <c r="S400"/>
  <c r="S399"/>
  <c r="N399"/>
  <c r="N405" s="1"/>
  <c r="F398"/>
  <c r="U398" s="1"/>
  <c r="E398"/>
  <c r="S398" s="1"/>
  <c r="U397"/>
  <c r="S397"/>
  <c r="U396"/>
  <c r="S396"/>
  <c r="U395"/>
  <c r="S395"/>
  <c r="L394"/>
  <c r="L405" s="1"/>
  <c r="E394"/>
  <c r="S394" s="1"/>
  <c r="M393"/>
  <c r="M405" s="1"/>
  <c r="G393"/>
  <c r="G405" s="1"/>
  <c r="F393"/>
  <c r="F405" s="1"/>
  <c r="E393"/>
  <c r="S393" s="1"/>
  <c r="S405" s="1"/>
  <c r="U392"/>
  <c r="U391"/>
  <c r="R390"/>
  <c r="Q390"/>
  <c r="P390"/>
  <c r="O390"/>
  <c r="N390"/>
  <c r="M390"/>
  <c r="G389"/>
  <c r="F389"/>
  <c r="U389" s="1"/>
  <c r="K388"/>
  <c r="J388"/>
  <c r="I388"/>
  <c r="G388"/>
  <c r="S388" s="1"/>
  <c r="F388"/>
  <c r="U388" s="1"/>
  <c r="L387"/>
  <c r="K387"/>
  <c r="K390" s="1"/>
  <c r="J387"/>
  <c r="J390" s="1"/>
  <c r="I387"/>
  <c r="H387"/>
  <c r="H390" s="1"/>
  <c r="F387"/>
  <c r="E387"/>
  <c r="S387" s="1"/>
  <c r="U386"/>
  <c r="L385"/>
  <c r="L390" s="1"/>
  <c r="I385"/>
  <c r="S385" s="1"/>
  <c r="U384"/>
  <c r="S384"/>
  <c r="U383"/>
  <c r="S383"/>
  <c r="U382"/>
  <c r="S382"/>
  <c r="S381"/>
  <c r="G380"/>
  <c r="G390" s="1"/>
  <c r="F380"/>
  <c r="F390" s="1"/>
  <c r="U379"/>
  <c r="U378"/>
  <c r="U377"/>
  <c r="U376"/>
  <c r="R375"/>
  <c r="Q375"/>
  <c r="P375"/>
  <c r="O375"/>
  <c r="N375"/>
  <c r="M375"/>
  <c r="L375"/>
  <c r="K375"/>
  <c r="J375"/>
  <c r="I375"/>
  <c r="H375"/>
  <c r="G375"/>
  <c r="F375"/>
  <c r="U375" s="1"/>
  <c r="U374"/>
  <c r="U373"/>
  <c r="U372"/>
  <c r="S371"/>
  <c r="U369"/>
  <c r="S369"/>
  <c r="U368"/>
  <c r="S368"/>
  <c r="E368"/>
  <c r="U367"/>
  <c r="U366"/>
  <c r="S366"/>
  <c r="U365"/>
  <c r="S365"/>
  <c r="U364"/>
  <c r="S364"/>
  <c r="U363"/>
  <c r="S363"/>
  <c r="U362"/>
  <c r="S362"/>
  <c r="U361"/>
  <c r="S361"/>
  <c r="U360"/>
  <c r="U359"/>
  <c r="S359"/>
  <c r="U358"/>
  <c r="U357"/>
  <c r="U356"/>
  <c r="S356"/>
  <c r="U355"/>
  <c r="E355"/>
  <c r="S355" s="1"/>
  <c r="U354"/>
  <c r="U353"/>
  <c r="U352"/>
  <c r="S352"/>
  <c r="E352"/>
  <c r="U351"/>
  <c r="E351"/>
  <c r="S351" s="1"/>
  <c r="U350"/>
  <c r="S350"/>
  <c r="E350"/>
  <c r="U349"/>
  <c r="E349"/>
  <c r="E375" s="1"/>
  <c r="U348"/>
  <c r="U347"/>
  <c r="U346"/>
  <c r="U345"/>
  <c r="U344"/>
  <c r="R343"/>
  <c r="Q343"/>
  <c r="P343"/>
  <c r="U342"/>
  <c r="U341"/>
  <c r="U340"/>
  <c r="N339"/>
  <c r="I339"/>
  <c r="F339"/>
  <c r="U339" s="1"/>
  <c r="E339"/>
  <c r="S339" s="1"/>
  <c r="U338"/>
  <c r="S338"/>
  <c r="U337"/>
  <c r="S336"/>
  <c r="U335"/>
  <c r="E335"/>
  <c r="S335" s="1"/>
  <c r="U334"/>
  <c r="E334"/>
  <c r="S334" s="1"/>
  <c r="U333"/>
  <c r="E333"/>
  <c r="S333" s="1"/>
  <c r="U332"/>
  <c r="S332"/>
  <c r="U331"/>
  <c r="U330"/>
  <c r="N329"/>
  <c r="K329"/>
  <c r="F329"/>
  <c r="S329" s="1"/>
  <c r="N328"/>
  <c r="K328"/>
  <c r="J328"/>
  <c r="I328"/>
  <c r="G328"/>
  <c r="F328"/>
  <c r="U328" s="1"/>
  <c r="O327"/>
  <c r="N327"/>
  <c r="M327"/>
  <c r="L327"/>
  <c r="J327"/>
  <c r="I327"/>
  <c r="H327"/>
  <c r="G327"/>
  <c r="F327"/>
  <c r="U327" s="1"/>
  <c r="E327"/>
  <c r="S327" s="1"/>
  <c r="U326"/>
  <c r="U325"/>
  <c r="N324"/>
  <c r="G324"/>
  <c r="U324" s="1"/>
  <c r="E324"/>
  <c r="S324" s="1"/>
  <c r="U323"/>
  <c r="S323"/>
  <c r="U322"/>
  <c r="S322"/>
  <c r="U321"/>
  <c r="S321"/>
  <c r="U320"/>
  <c r="S320"/>
  <c r="U319"/>
  <c r="S319"/>
  <c r="U318"/>
  <c r="S318"/>
  <c r="S317"/>
  <c r="H317"/>
  <c r="U317" s="1"/>
  <c r="U316"/>
  <c r="S316"/>
  <c r="G315"/>
  <c r="U315" s="1"/>
  <c r="U314"/>
  <c r="U313"/>
  <c r="U312"/>
  <c r="S312"/>
  <c r="U311"/>
  <c r="S311"/>
  <c r="U310"/>
  <c r="J309"/>
  <c r="U309" s="1"/>
  <c r="U308"/>
  <c r="S308"/>
  <c r="U307"/>
  <c r="S307"/>
  <c r="U306"/>
  <c r="S306"/>
  <c r="U305"/>
  <c r="S305"/>
  <c r="U304"/>
  <c r="S304"/>
  <c r="S303"/>
  <c r="K303"/>
  <c r="U303" s="1"/>
  <c r="I302"/>
  <c r="U302" s="1"/>
  <c r="U301"/>
  <c r="S301"/>
  <c r="E301"/>
  <c r="U300"/>
  <c r="E300"/>
  <c r="S300" s="1"/>
  <c r="S299"/>
  <c r="G299"/>
  <c r="U299" s="1"/>
  <c r="U298"/>
  <c r="U297"/>
  <c r="U296"/>
  <c r="S296"/>
  <c r="U295"/>
  <c r="S295"/>
  <c r="U294"/>
  <c r="S294"/>
  <c r="U293"/>
  <c r="S293"/>
  <c r="M292"/>
  <c r="M343" s="1"/>
  <c r="I292"/>
  <c r="I343" s="1"/>
  <c r="H292"/>
  <c r="U292" s="1"/>
  <c r="F292"/>
  <c r="F343" s="1"/>
  <c r="E292"/>
  <c r="S292" s="1"/>
  <c r="K291"/>
  <c r="H291"/>
  <c r="S291" s="1"/>
  <c r="U290"/>
  <c r="N289"/>
  <c r="L289"/>
  <c r="K289"/>
  <c r="J289"/>
  <c r="H289"/>
  <c r="U289" s="1"/>
  <c r="G289"/>
  <c r="S289" s="1"/>
  <c r="O288"/>
  <c r="N288"/>
  <c r="L288"/>
  <c r="K288"/>
  <c r="J288"/>
  <c r="H288"/>
  <c r="G288"/>
  <c r="U288" s="1"/>
  <c r="O287"/>
  <c r="O343" s="1"/>
  <c r="N287"/>
  <c r="N343" s="1"/>
  <c r="L287"/>
  <c r="K287"/>
  <c r="K343" s="1"/>
  <c r="J287"/>
  <c r="J343" s="1"/>
  <c r="H287"/>
  <c r="S287" s="1"/>
  <c r="G287"/>
  <c r="U287" s="1"/>
  <c r="U286"/>
  <c r="E286"/>
  <c r="S286" s="1"/>
  <c r="U285"/>
  <c r="U284"/>
  <c r="L283"/>
  <c r="L343" s="1"/>
  <c r="G283"/>
  <c r="G343" s="1"/>
  <c r="S282"/>
  <c r="H282"/>
  <c r="H343" s="1"/>
  <c r="U281"/>
  <c r="S281"/>
  <c r="U280"/>
  <c r="S280"/>
  <c r="U279"/>
  <c r="U278"/>
  <c r="U277"/>
  <c r="S277"/>
  <c r="U276"/>
  <c r="S276"/>
  <c r="U275"/>
  <c r="S275"/>
  <c r="U274"/>
  <c r="S274"/>
  <c r="U273"/>
  <c r="S273"/>
  <c r="U272"/>
  <c r="S272"/>
  <c r="U271"/>
  <c r="S271"/>
  <c r="U270"/>
  <c r="E270"/>
  <c r="E343" s="1"/>
  <c r="U269"/>
  <c r="U268"/>
  <c r="U267"/>
  <c r="U266"/>
  <c r="U265"/>
  <c r="R264"/>
  <c r="Q264"/>
  <c r="P264"/>
  <c r="F264"/>
  <c r="S263"/>
  <c r="U262"/>
  <c r="S261"/>
  <c r="E261"/>
  <c r="S260"/>
  <c r="E260"/>
  <c r="S259"/>
  <c r="E259"/>
  <c r="U258"/>
  <c r="E258"/>
  <c r="S258" s="1"/>
  <c r="U257"/>
  <c r="S257"/>
  <c r="U256"/>
  <c r="U255"/>
  <c r="U254"/>
  <c r="S253"/>
  <c r="U251"/>
  <c r="S251"/>
  <c r="U250"/>
  <c r="S250"/>
  <c r="K249"/>
  <c r="U249" s="1"/>
  <c r="E249"/>
  <c r="S249" s="1"/>
  <c r="U248"/>
  <c r="S248"/>
  <c r="K247"/>
  <c r="I247"/>
  <c r="I264" s="1"/>
  <c r="E247"/>
  <c r="U246"/>
  <c r="S246"/>
  <c r="U245"/>
  <c r="E245"/>
  <c r="S245" s="1"/>
  <c r="U244"/>
  <c r="K243"/>
  <c r="U243" s="1"/>
  <c r="G243"/>
  <c r="S243" s="1"/>
  <c r="U242"/>
  <c r="E242"/>
  <c r="S242" s="1"/>
  <c r="U241"/>
  <c r="S241"/>
  <c r="E241"/>
  <c r="U240"/>
  <c r="E240"/>
  <c r="S240" s="1"/>
  <c r="U239"/>
  <c r="S239"/>
  <c r="U238"/>
  <c r="S238"/>
  <c r="U237"/>
  <c r="S237"/>
  <c r="U236"/>
  <c r="S236"/>
  <c r="U235"/>
  <c r="S235"/>
  <c r="S234"/>
  <c r="N234"/>
  <c r="U234" s="1"/>
  <c r="M233"/>
  <c r="U233" s="1"/>
  <c r="L233"/>
  <c r="S233" s="1"/>
  <c r="U232"/>
  <c r="U231"/>
  <c r="N230"/>
  <c r="L230"/>
  <c r="J230"/>
  <c r="H230"/>
  <c r="G230"/>
  <c r="S230" s="1"/>
  <c r="O229"/>
  <c r="O264" s="1"/>
  <c r="N229"/>
  <c r="N264" s="1"/>
  <c r="L229"/>
  <c r="L264" s="1"/>
  <c r="K229"/>
  <c r="J229"/>
  <c r="J264" s="1"/>
  <c r="H229"/>
  <c r="H264" s="1"/>
  <c r="G229"/>
  <c r="G264" s="1"/>
  <c r="E229"/>
  <c r="S229" s="1"/>
  <c r="M228"/>
  <c r="M264" s="1"/>
  <c r="K228"/>
  <c r="K264" s="1"/>
  <c r="U227"/>
  <c r="U226"/>
  <c r="U225"/>
  <c r="S225"/>
  <c r="U224"/>
  <c r="S224"/>
  <c r="U223"/>
  <c r="S223"/>
  <c r="E223"/>
  <c r="U222"/>
  <c r="U221"/>
  <c r="U220"/>
  <c r="S220"/>
  <c r="U219"/>
  <c r="S219"/>
  <c r="U218"/>
  <c r="E218"/>
  <c r="S218" s="1"/>
  <c r="U217"/>
  <c r="S217"/>
  <c r="E217"/>
  <c r="E264" s="1"/>
  <c r="U216"/>
  <c r="U215"/>
  <c r="U214"/>
  <c r="U213"/>
  <c r="U212"/>
  <c r="R211"/>
  <c r="Q211"/>
  <c r="P211"/>
  <c r="H211"/>
  <c r="G211"/>
  <c r="U210"/>
  <c r="S210"/>
  <c r="U209"/>
  <c r="S209"/>
  <c r="U208"/>
  <c r="S208"/>
  <c r="U207"/>
  <c r="U206"/>
  <c r="S205"/>
  <c r="S204"/>
  <c r="S203"/>
  <c r="S202"/>
  <c r="S201"/>
  <c r="S200"/>
  <c r="S199"/>
  <c r="U198"/>
  <c r="S198"/>
  <c r="U197"/>
  <c r="S197"/>
  <c r="U196"/>
  <c r="S196"/>
  <c r="U195"/>
  <c r="S195"/>
  <c r="U194"/>
  <c r="S194"/>
  <c r="S193"/>
  <c r="U192"/>
  <c r="S192"/>
  <c r="U191"/>
  <c r="E191"/>
  <c r="S191" s="1"/>
  <c r="U190"/>
  <c r="S190"/>
  <c r="U189"/>
  <c r="S189"/>
  <c r="U188"/>
  <c r="U187"/>
  <c r="U186"/>
  <c r="U185"/>
  <c r="S185"/>
  <c r="U184"/>
  <c r="U183"/>
  <c r="S183"/>
  <c r="O182"/>
  <c r="O211" s="1"/>
  <c r="K182"/>
  <c r="K211" s="1"/>
  <c r="E182"/>
  <c r="U181"/>
  <c r="S181"/>
  <c r="I180"/>
  <c r="I211" s="1"/>
  <c r="E180"/>
  <c r="S180" s="1"/>
  <c r="U179"/>
  <c r="S179"/>
  <c r="U178"/>
  <c r="E177"/>
  <c r="S177" s="1"/>
  <c r="S176"/>
  <c r="J176"/>
  <c r="U176" s="1"/>
  <c r="U175"/>
  <c r="U174"/>
  <c r="S174"/>
  <c r="U173"/>
  <c r="N172"/>
  <c r="L172"/>
  <c r="S172" s="1"/>
  <c r="E172"/>
  <c r="N171"/>
  <c r="N211" s="1"/>
  <c r="L171"/>
  <c r="L211" s="1"/>
  <c r="U170"/>
  <c r="S170"/>
  <c r="U169"/>
  <c r="U168"/>
  <c r="S167"/>
  <c r="F167"/>
  <c r="U167" s="1"/>
  <c r="U166"/>
  <c r="S166"/>
  <c r="M165"/>
  <c r="M211" s="1"/>
  <c r="E165"/>
  <c r="E211" s="1"/>
  <c r="U164"/>
  <c r="U163"/>
  <c r="U162"/>
  <c r="S162"/>
  <c r="U161"/>
  <c r="S161"/>
  <c r="U160"/>
  <c r="S160"/>
  <c r="U159"/>
  <c r="S159"/>
  <c r="U158"/>
  <c r="U157"/>
  <c r="U156"/>
  <c r="U155"/>
  <c r="U154"/>
  <c r="R153"/>
  <c r="Q153"/>
  <c r="P153"/>
  <c r="O153"/>
  <c r="M153"/>
  <c r="U152"/>
  <c r="S152"/>
  <c r="U151"/>
  <c r="E151"/>
  <c r="S151" s="1"/>
  <c r="N150"/>
  <c r="L150"/>
  <c r="H150"/>
  <c r="G150"/>
  <c r="F150"/>
  <c r="U150" s="1"/>
  <c r="E150"/>
  <c r="S150" s="1"/>
  <c r="U149"/>
  <c r="U148"/>
  <c r="S148"/>
  <c r="U147"/>
  <c r="U146"/>
  <c r="S146"/>
  <c r="J145"/>
  <c r="G145"/>
  <c r="F145"/>
  <c r="U145" s="1"/>
  <c r="E145"/>
  <c r="S145" s="1"/>
  <c r="U144"/>
  <c r="N143"/>
  <c r="L143"/>
  <c r="K143"/>
  <c r="J143"/>
  <c r="H143"/>
  <c r="G143"/>
  <c r="S143" s="1"/>
  <c r="N142"/>
  <c r="L142"/>
  <c r="K142"/>
  <c r="H142"/>
  <c r="G142"/>
  <c r="S142" s="1"/>
  <c r="N141"/>
  <c r="N153" s="1"/>
  <c r="L141"/>
  <c r="L153" s="1"/>
  <c r="K141"/>
  <c r="K153" s="1"/>
  <c r="J141"/>
  <c r="J153" s="1"/>
  <c r="H141"/>
  <c r="H153" s="1"/>
  <c r="G141"/>
  <c r="G153" s="1"/>
  <c r="U140"/>
  <c r="S140"/>
  <c r="U139"/>
  <c r="U138"/>
  <c r="S137"/>
  <c r="I137"/>
  <c r="I153" s="1"/>
  <c r="U136"/>
  <c r="S136"/>
  <c r="U135"/>
  <c r="E135"/>
  <c r="S135" s="1"/>
  <c r="U134"/>
  <c r="U133"/>
  <c r="U132"/>
  <c r="E132"/>
  <c r="S132" s="1"/>
  <c r="U131"/>
  <c r="S131"/>
  <c r="U130"/>
  <c r="S130"/>
  <c r="U129"/>
  <c r="S129"/>
  <c r="U128"/>
  <c r="S128"/>
  <c r="E128"/>
  <c r="E153" s="1"/>
  <c r="U127"/>
  <c r="U126"/>
  <c r="U125"/>
  <c r="U124"/>
  <c r="U123"/>
  <c r="R122"/>
  <c r="R410" s="1"/>
  <c r="Q122"/>
  <c r="Q410" s="1"/>
  <c r="P122"/>
  <c r="P410" s="1"/>
  <c r="U121"/>
  <c r="S121"/>
  <c r="U120"/>
  <c r="S120"/>
  <c r="U119"/>
  <c r="S119"/>
  <c r="U118"/>
  <c r="U117"/>
  <c r="S116"/>
  <c r="S115"/>
  <c r="S114"/>
  <c r="S113"/>
  <c r="S112"/>
  <c r="S110"/>
  <c r="S109"/>
  <c r="U107"/>
  <c r="S107"/>
  <c r="U106"/>
  <c r="U105"/>
  <c r="E105"/>
  <c r="S105" s="1"/>
  <c r="U104"/>
  <c r="S103"/>
  <c r="E103"/>
  <c r="S102"/>
  <c r="E101"/>
  <c r="S101" s="1"/>
  <c r="U100"/>
  <c r="S98"/>
  <c r="E98"/>
  <c r="S97"/>
  <c r="E97"/>
  <c r="S96"/>
  <c r="U95"/>
  <c r="U94"/>
  <c r="S94"/>
  <c r="U93"/>
  <c r="U92"/>
  <c r="U91"/>
  <c r="U90"/>
  <c r="N89"/>
  <c r="M89"/>
  <c r="L89"/>
  <c r="K89"/>
  <c r="J89"/>
  <c r="I89"/>
  <c r="H89"/>
  <c r="G89"/>
  <c r="F89"/>
  <c r="U89" s="1"/>
  <c r="E89"/>
  <c r="S89" s="1"/>
  <c r="U88"/>
  <c r="S88"/>
  <c r="O87"/>
  <c r="N87"/>
  <c r="M87"/>
  <c r="L87"/>
  <c r="K87"/>
  <c r="J87"/>
  <c r="I87"/>
  <c r="H87"/>
  <c r="G87"/>
  <c r="F87"/>
  <c r="U87" s="1"/>
  <c r="O86"/>
  <c r="N86"/>
  <c r="M86"/>
  <c r="L86"/>
  <c r="I86"/>
  <c r="H86"/>
  <c r="G86"/>
  <c r="F86"/>
  <c r="U86" s="1"/>
  <c r="E86"/>
  <c r="S86" s="1"/>
  <c r="O85"/>
  <c r="N85"/>
  <c r="M85"/>
  <c r="L85"/>
  <c r="J85"/>
  <c r="I85"/>
  <c r="G85"/>
  <c r="F85"/>
  <c r="U85" s="1"/>
  <c r="E85"/>
  <c r="S85" s="1"/>
  <c r="U84"/>
  <c r="I83"/>
  <c r="U83" s="1"/>
  <c r="E83"/>
  <c r="S83" s="1"/>
  <c r="S82"/>
  <c r="I82"/>
  <c r="U82" s="1"/>
  <c r="U81"/>
  <c r="I80"/>
  <c r="G80"/>
  <c r="S80" s="1"/>
  <c r="E80"/>
  <c r="I79"/>
  <c r="H79"/>
  <c r="F79"/>
  <c r="U79" s="1"/>
  <c r="U78"/>
  <c r="S78"/>
  <c r="N77"/>
  <c r="U77" s="1"/>
  <c r="E77"/>
  <c r="S77" s="1"/>
  <c r="K76"/>
  <c r="I76"/>
  <c r="S76" s="1"/>
  <c r="N75"/>
  <c r="U75" s="1"/>
  <c r="E75"/>
  <c r="S75" s="1"/>
  <c r="K74"/>
  <c r="H74"/>
  <c r="S74" s="1"/>
  <c r="E74"/>
  <c r="N73"/>
  <c r="L73"/>
  <c r="I73"/>
  <c r="U73" s="1"/>
  <c r="H73"/>
  <c r="E73"/>
  <c r="S73" s="1"/>
  <c r="O72"/>
  <c r="N72"/>
  <c r="M72"/>
  <c r="L72"/>
  <c r="K72"/>
  <c r="J72"/>
  <c r="I72"/>
  <c r="G72"/>
  <c r="U72" s="1"/>
  <c r="E72"/>
  <c r="S72" s="1"/>
  <c r="U71"/>
  <c r="U70"/>
  <c r="K69"/>
  <c r="U69" s="1"/>
  <c r="N68"/>
  <c r="M68"/>
  <c r="L68"/>
  <c r="K68"/>
  <c r="J68"/>
  <c r="I68"/>
  <c r="F68"/>
  <c r="U68" s="1"/>
  <c r="E68"/>
  <c r="S68" s="1"/>
  <c r="U67"/>
  <c r="U66"/>
  <c r="E66"/>
  <c r="S66" s="1"/>
  <c r="U65"/>
  <c r="S65"/>
  <c r="U64"/>
  <c r="S64"/>
  <c r="U63"/>
  <c r="S63"/>
  <c r="U62"/>
  <c r="S62"/>
  <c r="U61"/>
  <c r="S61"/>
  <c r="S60"/>
  <c r="J60"/>
  <c r="U60" s="1"/>
  <c r="U59"/>
  <c r="S59"/>
  <c r="U58"/>
  <c r="S58"/>
  <c r="U57"/>
  <c r="S57"/>
  <c r="H56"/>
  <c r="U56" s="1"/>
  <c r="U55"/>
  <c r="S55"/>
  <c r="U54"/>
  <c r="S54"/>
  <c r="U53"/>
  <c r="S53"/>
  <c r="U52"/>
  <c r="S52"/>
  <c r="U51"/>
  <c r="U50"/>
  <c r="E50"/>
  <c r="S50" s="1"/>
  <c r="U49"/>
  <c r="S49"/>
  <c r="U48"/>
  <c r="S48"/>
  <c r="U47"/>
  <c r="S47"/>
  <c r="E47"/>
  <c r="U46"/>
  <c r="U45"/>
  <c r="S45"/>
  <c r="U44"/>
  <c r="S44"/>
  <c r="U43"/>
  <c r="K42"/>
  <c r="U42" s="1"/>
  <c r="J41"/>
  <c r="I41"/>
  <c r="H41"/>
  <c r="G41"/>
  <c r="F41"/>
  <c r="U41" s="1"/>
  <c r="E41"/>
  <c r="S41" s="1"/>
  <c r="U40"/>
  <c r="U39"/>
  <c r="N38"/>
  <c r="I38"/>
  <c r="H38"/>
  <c r="G38"/>
  <c r="S38" s="1"/>
  <c r="E38"/>
  <c r="I37"/>
  <c r="U37" s="1"/>
  <c r="H37"/>
  <c r="E37"/>
  <c r="S37" s="1"/>
  <c r="U36"/>
  <c r="S36"/>
  <c r="U35"/>
  <c r="S34"/>
  <c r="L34"/>
  <c r="H33"/>
  <c r="U33" s="1"/>
  <c r="G33"/>
  <c r="S33" s="1"/>
  <c r="O32"/>
  <c r="N32"/>
  <c r="L32"/>
  <c r="K32"/>
  <c r="J32"/>
  <c r="H32"/>
  <c r="G32"/>
  <c r="U32" s="1"/>
  <c r="E32"/>
  <c r="S32" s="1"/>
  <c r="N31"/>
  <c r="L31"/>
  <c r="K31"/>
  <c r="H31"/>
  <c r="G31"/>
  <c r="U31" s="1"/>
  <c r="N30"/>
  <c r="L30"/>
  <c r="K30"/>
  <c r="J30"/>
  <c r="H30"/>
  <c r="G30"/>
  <c r="S30" s="1"/>
  <c r="S29"/>
  <c r="L29"/>
  <c r="U29" s="1"/>
  <c r="U28"/>
  <c r="U27"/>
  <c r="K26"/>
  <c r="G26"/>
  <c r="F26"/>
  <c r="F122" s="1"/>
  <c r="O25"/>
  <c r="O122" s="1"/>
  <c r="O410" s="1"/>
  <c r="N25"/>
  <c r="N122" s="1"/>
  <c r="N410" s="1"/>
  <c r="L25"/>
  <c r="K25"/>
  <c r="J25"/>
  <c r="J122" s="1"/>
  <c r="I25"/>
  <c r="I122" s="1"/>
  <c r="H25"/>
  <c r="H122" s="1"/>
  <c r="H410" s="1"/>
  <c r="G25"/>
  <c r="S25" s="1"/>
  <c r="M24"/>
  <c r="M122" s="1"/>
  <c r="M410" s="1"/>
  <c r="L24"/>
  <c r="L122" s="1"/>
  <c r="L410" s="1"/>
  <c r="E24"/>
  <c r="K23"/>
  <c r="U23" s="1"/>
  <c r="U22"/>
  <c r="U21"/>
  <c r="U20"/>
  <c r="S20"/>
  <c r="U19"/>
  <c r="S19"/>
  <c r="E19"/>
  <c r="U18"/>
  <c r="E18"/>
  <c r="E122" s="1"/>
  <c r="U17"/>
  <c r="S17"/>
  <c r="U16"/>
  <c r="S16"/>
  <c r="U15"/>
  <c r="S15"/>
  <c r="U14"/>
  <c r="U13"/>
  <c r="S13"/>
  <c r="U12"/>
  <c r="S12"/>
  <c r="U11"/>
  <c r="S11"/>
  <c r="U10"/>
  <c r="S10"/>
  <c r="U9"/>
  <c r="S9"/>
  <c r="U8"/>
  <c r="S8"/>
  <c r="T405" l="1"/>
  <c r="U405"/>
  <c r="U264"/>
  <c r="U343"/>
  <c r="S18"/>
  <c r="S122" s="1"/>
  <c r="S23"/>
  <c r="U24"/>
  <c r="U25"/>
  <c r="S26"/>
  <c r="U30"/>
  <c r="S31"/>
  <c r="U38"/>
  <c r="S42"/>
  <c r="S56"/>
  <c r="S69"/>
  <c r="U74"/>
  <c r="U76"/>
  <c r="S79"/>
  <c r="U80"/>
  <c r="S87"/>
  <c r="G122"/>
  <c r="G410" s="1"/>
  <c r="K122"/>
  <c r="K410" s="1"/>
  <c r="S141"/>
  <c r="S153" s="1"/>
  <c r="U142"/>
  <c r="U143"/>
  <c r="F153"/>
  <c r="U165"/>
  <c r="S171"/>
  <c r="U180"/>
  <c r="S182"/>
  <c r="F211"/>
  <c r="J211"/>
  <c r="J410" s="1"/>
  <c r="S228"/>
  <c r="S264" s="1"/>
  <c r="T264" s="1"/>
  <c r="U230"/>
  <c r="S247"/>
  <c r="S270"/>
  <c r="U282"/>
  <c r="U283"/>
  <c r="S288"/>
  <c r="U291"/>
  <c r="S302"/>
  <c r="S309"/>
  <c r="S315"/>
  <c r="S328"/>
  <c r="U329"/>
  <c r="S349"/>
  <c r="S375" s="1"/>
  <c r="T375" s="1"/>
  <c r="S380"/>
  <c r="S390" s="1"/>
  <c r="U385"/>
  <c r="U387"/>
  <c r="S389"/>
  <c r="E390"/>
  <c r="E411" s="1"/>
  <c r="I390"/>
  <c r="T390" s="1"/>
  <c r="U393"/>
  <c r="U394"/>
  <c r="E405"/>
  <c r="S24"/>
  <c r="U26"/>
  <c r="U137"/>
  <c r="U141"/>
  <c r="S165"/>
  <c r="S211" s="1"/>
  <c r="U182"/>
  <c r="U228"/>
  <c r="U229"/>
  <c r="U247"/>
  <c r="S283"/>
  <c r="U380"/>
  <c r="U399"/>
  <c r="F415" l="1"/>
  <c r="H414"/>
  <c r="U153"/>
  <c r="T153"/>
  <c r="I410"/>
  <c r="U390"/>
  <c r="U122"/>
  <c r="T122"/>
  <c r="U211"/>
  <c r="T211"/>
  <c r="S343"/>
  <c r="T343" s="1"/>
  <c r="F410"/>
  <c r="U410" l="1"/>
  <c r="S411"/>
  <c r="S410"/>
  <c r="T410" s="1"/>
  <c r="H420"/>
  <c r="H421" s="1"/>
  <c r="H415"/>
  <c r="H416" s="1"/>
</calcChain>
</file>

<file path=xl/comments1.xml><?xml version="1.0" encoding="utf-8"?>
<comments xmlns="http://schemas.openxmlformats.org/spreadsheetml/2006/main">
  <authors>
    <author/>
  </authors>
  <commentList>
    <comment ref="E18" authorId="0">
      <text>
        <r>
          <rPr>
            <sz val="11"/>
            <color rgb="FF000000"/>
            <rFont val="Tahoma"/>
          </rPr>
          <t>โอนเพิ่ม ตามใบโอนครั้งที่ 2=90000
โอนเพิ่ม ตามใบโอนครั้งที่ 2=40000</t>
        </r>
      </text>
    </comment>
    <comment ref="E19" authorId="0">
      <text>
        <r>
          <rPr>
            <sz val="11"/>
            <color rgb="FF000000"/>
            <rFont val="Tahoma"/>
          </rPr>
          <t>โอนเเพิ่ม ตามใบโอนครั้งที่ 2 =10000</t>
        </r>
      </text>
    </comment>
    <comment ref="E24" authorId="0">
      <text>
        <r>
          <rPr>
            <sz val="11"/>
            <color rgb="FF000000"/>
            <rFont val="Tahoma"/>
          </rPr>
          <t xml:space="preserve">โอนเพิ่ม  ตามใบโอนครั้งที่ 9=15000
</t>
        </r>
      </text>
    </comment>
    <comment ref="E32" authorId="0">
      <text>
        <r>
          <rPr>
            <sz val="11"/>
            <color rgb="FF000000"/>
            <rFont val="Tahoma"/>
          </rPr>
          <t>โอนเพิ่ม ตามใบโอนครั้งที่่ 1 = 100,000
โอนเพิ่ม ตามใบโอนครั้งที่่ 1 = 8000
โอนลด ตามใบโอนครั้งที่่ 2= 30000
โอนลด ตามใบโอนครั้งที่่ 2=40000</t>
        </r>
      </text>
    </comment>
    <comment ref="E34" authorId="0">
      <text>
        <r>
          <rPr>
            <sz val="11"/>
            <color rgb="FF000000"/>
            <rFont val="Tahoma"/>
          </rPr>
          <t xml:space="preserve">โอนเพิ่ม ตามใบโอนครั้งที่ 6=63000
</t>
        </r>
      </text>
    </comment>
    <comment ref="E37" authorId="0">
      <text>
        <r>
          <rPr>
            <sz val="11"/>
            <color rgb="FF000000"/>
            <rFont val="Tahoma"/>
          </rPr>
          <t>โอนเพิ่ม ตามใบโอนครั้งที่ 4=20000</t>
        </r>
      </text>
    </comment>
    <comment ref="E38" authorId="0">
      <text>
        <r>
          <rPr>
            <sz val="11"/>
            <color rgb="FF000000"/>
            <rFont val="Tahoma"/>
          </rPr>
          <t>โอนเพิ่ม ตามใบโอนครั้งที่ 3=20000</t>
        </r>
      </text>
    </comment>
    <comment ref="E41" authorId="0">
      <text>
        <r>
          <rPr>
            <sz val="11"/>
            <color rgb="FF000000"/>
            <rFont val="Tahoma"/>
          </rPr>
          <t>โอนเพิ่มตามใบโอนครั้งที่ 6=100000</t>
        </r>
      </text>
    </comment>
    <comment ref="E47" authorId="0">
      <text>
        <r>
          <rPr>
            <sz val="11"/>
            <color rgb="FF000000"/>
            <rFont val="Tahoma"/>
          </rPr>
          <t>โอนลด ตามใบโอนครั้งที่ 13=20000</t>
        </r>
      </text>
    </comment>
    <comment ref="E50" authorId="0">
      <text>
        <r>
          <rPr>
            <sz val="11"/>
            <color rgb="FF000000"/>
            <rFont val="Tahoma"/>
          </rPr>
          <t>โอนลด ตามใบโอนครั้งที่ 12=30000</t>
        </r>
      </text>
    </comment>
    <comment ref="E66" authorId="0">
      <text>
        <r>
          <rPr>
            <sz val="11"/>
            <color rgb="FF000000"/>
            <rFont val="Tahoma"/>
          </rPr>
          <t xml:space="preserve">โอนลด ตามใบโอนครั้งที่ 12 =70000 </t>
        </r>
      </text>
    </comment>
    <comment ref="E68" authorId="0">
      <text>
        <r>
          <rPr>
            <sz val="11"/>
            <color rgb="FF000000"/>
            <rFont val="Tahoma"/>
          </rPr>
          <t>โอนเพิ่มตามใบโอนครั้งที่ 6=70000
โอนเพิ่ม ตามใบโอนครั้งที่ 13=30000
โอนเพิ่ม ตามใบโอนครั้งที่ 13=20000</t>
        </r>
      </text>
    </comment>
    <comment ref="E72" authorId="0">
      <text>
        <r>
          <rPr>
            <sz val="11"/>
            <color rgb="FF000000"/>
            <rFont val="Tahoma"/>
          </rPr>
          <t xml:space="preserve">โอนเพิ่ม ตามใบโอนครั้งที่ 2=10000
โอนเพิ่ม ตามใบโอนครั้งที่ 2=10000
 โอนเพิ่ม ตามใบโอนครั้งที่ 7=30000 </t>
        </r>
      </text>
    </comment>
    <comment ref="E73" authorId="0">
      <text>
        <r>
          <rPr>
            <sz val="11"/>
            <color rgb="FF000000"/>
            <rFont val="Tahoma"/>
          </rPr>
          <t>โอนเพิ่ม ตามใบโอนครั้งที่ 3=30000
โอนเพิ่ม ตามใบโอนครั้งที่ 13=20000</t>
        </r>
      </text>
    </comment>
    <comment ref="E74" authorId="0">
      <text>
        <r>
          <rPr>
            <sz val="11"/>
            <color rgb="FF000000"/>
            <rFont val="Tahoma"/>
          </rPr>
          <t xml:space="preserve">โอนเพิ่ม ตามใบโอนครั้งที่ 5 =20000
</t>
        </r>
      </text>
    </comment>
    <comment ref="E75" authorId="0">
      <text>
        <r>
          <rPr>
            <sz val="11"/>
            <color rgb="FF000000"/>
            <rFont val="Tahoma"/>
          </rPr>
          <t>โอนเพิ่ม ตามใบโอนครั้งที่ 2=10000
โอนเพิ่มตามใบโอนครั้งที่ 2=30000
โอนเพิ่มตามใบโอนครั้งที่ 8= 50000</t>
        </r>
      </text>
    </comment>
    <comment ref="E77" authorId="0">
      <text>
        <r>
          <rPr>
            <sz val="11"/>
            <color rgb="FF000000"/>
            <rFont val="Tahoma"/>
          </rPr>
          <t>โอนเพิ่ม ตามใบโอนครั้งที่ 7 =110000</t>
        </r>
      </text>
    </comment>
    <comment ref="E80" authorId="0">
      <text>
        <r>
          <rPr>
            <sz val="11"/>
            <color rgb="FF000000"/>
            <rFont val="Tahoma"/>
          </rPr>
          <t>โอนเพิ่ม ตามใบโอนครั้งที่ 3=45000</t>
        </r>
      </text>
    </comment>
    <comment ref="E83" authorId="0">
      <text>
        <r>
          <rPr>
            <sz val="11"/>
            <color rgb="FF000000"/>
            <rFont val="Tahoma"/>
          </rPr>
          <t>โอนเพิ่มตามใบครั้งที่ 5 =20000
โอนเพิ่ม ตามใบครั้งที่ 13=15000</t>
        </r>
      </text>
    </comment>
    <comment ref="E85" authorId="0">
      <text>
        <r>
          <rPr>
            <sz val="11"/>
            <color rgb="FF000000"/>
            <rFont val="Tahoma"/>
          </rPr>
          <t xml:space="preserve">โอนลด ตามใบโอนครั้งที่ 13=30000
</t>
        </r>
      </text>
    </comment>
    <comment ref="E86" authorId="0">
      <text>
        <r>
          <rPr>
            <sz val="11"/>
            <color rgb="FF000000"/>
            <rFont val="Tahoma"/>
          </rPr>
          <t>โอนลด ตามใบโอนครั้งที่ 13=15000</t>
        </r>
      </text>
    </comment>
    <comment ref="E89" authorId="0">
      <text>
        <r>
          <rPr>
            <sz val="11"/>
            <color rgb="FF000000"/>
            <rFont val="Tahoma"/>
          </rPr>
          <t>โอนเพิ่ม ตามใบโอนครั้งที่ 12 =15000</t>
        </r>
      </text>
    </comment>
    <comment ref="E96" authorId="0">
      <text>
        <r>
          <rPr>
            <sz val="11"/>
            <color rgb="FF000000"/>
            <rFont val="Tahoma"/>
          </rPr>
          <t xml:space="preserve">โอนเพิ่ม ตามใบโอนครั้งที่ 2= 64800
</t>
        </r>
      </text>
    </comment>
    <comment ref="E97" authorId="0">
      <text>
        <r>
          <rPr>
            <sz val="11"/>
            <color rgb="FF000000"/>
            <rFont val="Tahoma"/>
          </rPr>
          <t xml:space="preserve">โอนเพิ่ม ตามใบโอนครั้งที่ 2=17000
โอนเพิ่ม ตามใบโอนครั้งที่ 2=7100
โอนเพิ่ม ตามใบโอนครั้งที่ 2=17000
โอนเพิ่ม ตามใบโอนครั้งที่ 2=7100
โอนเพิ่ม ตามใบโอนครั้งที่ 2=10000
โอนเพิ่ม ตามใบโอนครั้งที่ 2=7100
</t>
        </r>
      </text>
    </comment>
    <comment ref="E98" authorId="0">
      <text>
        <r>
          <rPr>
            <sz val="11"/>
            <color rgb="FF000000"/>
            <rFont val="Tahoma"/>
          </rPr>
          <t>โอนเพิ่ม ตามใบโอนครั้งที่ 2= 2500
โอนเพิ่ม ตามใบโอนครั้งที่ 2= 2500
โอนเพิ่ม ตามใบโอนครั้งที่ 2=5200
โอนเพิ่ม ตามใบโอนครั้งที่ 2=2500</t>
        </r>
      </text>
    </comment>
    <comment ref="E99" authorId="0">
      <text>
        <r>
          <rPr>
            <sz val="11"/>
            <color rgb="FF000000"/>
            <rFont val="Tahoma"/>
          </rPr>
          <t>โอนเพิ่ม ตามใบโอนครั้งที่ 6 = 10000</t>
        </r>
      </text>
    </comment>
    <comment ref="E101" authorId="0">
      <text>
        <r>
          <rPr>
            <sz val="11"/>
            <color rgb="FF000000"/>
            <rFont val="Tahoma"/>
          </rPr>
          <t xml:space="preserve">โอนลด ตามใบโอนครั้งที่ 2 =7100
   </t>
        </r>
      </text>
    </comment>
    <comment ref="E103" authorId="0">
      <text>
        <r>
          <rPr>
            <sz val="11"/>
            <color rgb="FF000000"/>
            <rFont val="Tahoma"/>
          </rPr>
          <t xml:space="preserve">โอนลด ตามใบโอนครั้งที่ 2 =2500
</t>
        </r>
      </text>
    </comment>
    <comment ref="E105" authorId="0">
      <text>
        <r>
          <rPr>
            <sz val="11"/>
            <color rgb="FF000000"/>
            <rFont val="Tahoma"/>
          </rPr>
          <t>โอนเพิ่มตามใบโฮนครั้งที่ 6 =100000</t>
        </r>
      </text>
    </comment>
    <comment ref="E110" authorId="0">
      <text>
        <r>
          <rPr>
            <sz val="11"/>
            <color rgb="FF000000"/>
            <rFont val="Tahoma"/>
          </rPr>
          <t>โอนเพิ่ม ตามใบโอนครั้งที่ 2= 120000</t>
        </r>
      </text>
    </comment>
    <comment ref="E114" authorId="0">
      <text>
        <r>
          <rPr>
            <sz val="11"/>
            <color rgb="FF000000"/>
            <rFont val="Tahoma"/>
          </rPr>
          <t>โอนเพิ่ม ตามใบโอนครั้งที่ 2= 400000</t>
        </r>
      </text>
    </comment>
    <comment ref="E115" authorId="0">
      <text>
        <r>
          <rPr>
            <sz val="11"/>
            <color rgb="FF000000"/>
            <rFont val="Tahoma"/>
          </rPr>
          <t>โอนเพิ่ม ตามใบโอนครั้งที่ 2 =80000</t>
        </r>
      </text>
    </comment>
    <comment ref="E116" authorId="0">
      <text>
        <r>
          <rPr>
            <sz val="11"/>
            <color rgb="FF000000"/>
            <rFont val="Tahoma"/>
          </rPr>
          <t>โอนเพิ่ม ตามใบโอนครั้งที่ 2 =100000</t>
        </r>
      </text>
    </comment>
    <comment ref="E128" authorId="0">
      <text>
        <r>
          <rPr>
            <sz val="11"/>
            <color rgb="FF000000"/>
            <rFont val="Tahoma"/>
          </rPr>
          <t>โอนลด ตามใบโอนครั้งที่ 2=40000</t>
        </r>
      </text>
    </comment>
    <comment ref="E132" authorId="0">
      <text>
        <r>
          <rPr>
            <sz val="11"/>
            <color rgb="FF000000"/>
            <rFont val="Tahoma"/>
          </rPr>
          <t>โอนลด ตามใบโอนครั้งที่ 12=10000</t>
        </r>
      </text>
    </comment>
    <comment ref="E135" authorId="0">
      <text>
        <r>
          <rPr>
            <sz val="11"/>
            <color rgb="FF000000"/>
            <rFont val="Tahoma"/>
          </rPr>
          <t>โอนลด  ตามใบโอนครั้งที่ 10=30000</t>
        </r>
      </text>
    </comment>
    <comment ref="E145" authorId="0">
      <text>
        <r>
          <rPr>
            <sz val="11"/>
            <color rgb="FF000000"/>
            <rFont val="Tahoma"/>
          </rPr>
          <t>โอนเพิ่ม ตามใบโอนครั้งที่ 2=40000</t>
        </r>
      </text>
    </comment>
    <comment ref="E150" authorId="0">
      <text>
        <r>
          <rPr>
            <sz val="11"/>
            <color rgb="FF000000"/>
            <rFont val="Tahoma"/>
          </rPr>
          <t>โอนเพิ่มตามใบโอนครั้งที่ 8= 20000</t>
        </r>
      </text>
    </comment>
    <comment ref="E151" authorId="0">
      <text>
        <r>
          <rPr>
            <sz val="11"/>
            <color rgb="FF000000"/>
            <rFont val="Tahoma"/>
          </rPr>
          <t>โอนเพิ่มตามใบโอนครั้งที่ 7=35000</t>
        </r>
      </text>
    </comment>
    <comment ref="E165" authorId="0">
      <text>
        <r>
          <rPr>
            <sz val="11"/>
            <color rgb="FF000000"/>
            <rFont val="Tahoma"/>
          </rPr>
          <t>โอนเพิ่ม ตามใบโอนครั้งที่ 9=32000
โอนเพิ่ม ตามใบโอนครั้งที่ 9=4300
โอนเพิ่ม ตามใบโอนครั้งที่ 10=30000
โอนเพิ่ม ตามใบโอนครั้งที่ 12=30000</t>
        </r>
      </text>
    </comment>
    <comment ref="E171" authorId="0">
      <text>
        <r>
          <rPr>
            <sz val="11"/>
            <color rgb="FF000000"/>
            <rFont val="Tahoma"/>
          </rPr>
          <t>โอนเพิ่ม ตามใบโอนครั้งที่  5= 90000</t>
        </r>
      </text>
    </comment>
    <comment ref="E172" authorId="0">
      <text>
        <r>
          <rPr>
            <sz val="11"/>
            <color rgb="FF000000"/>
            <rFont val="Tahoma"/>
          </rPr>
          <t>โอนลด ตามใบโอนครั้งที่ 13=20000</t>
        </r>
      </text>
    </comment>
    <comment ref="E177" authorId="0">
      <text>
        <r>
          <rPr>
            <sz val="11"/>
            <color rgb="FF000000"/>
            <rFont val="Tahoma"/>
          </rPr>
          <t>โอนลดตามใบโอนครั้งที่ 6=300000</t>
        </r>
      </text>
    </comment>
    <comment ref="E180" authorId="0">
      <text>
        <r>
          <rPr>
            <sz val="11"/>
            <color rgb="FF000000"/>
            <rFont val="Tahoma"/>
          </rPr>
          <t>โอนเพิ่มตามใบโอนครั้งที่ 7=30000</t>
        </r>
      </text>
    </comment>
    <comment ref="E182" authorId="0">
      <text>
        <r>
          <rPr>
            <sz val="11"/>
            <color rgb="FF000000"/>
            <rFont val="Tahoma"/>
          </rPr>
          <t xml:space="preserve">โอนเพิ่มตามใบโอนครั้งที่ 2  = 40000
</t>
        </r>
      </text>
    </comment>
    <comment ref="E191" authorId="0">
      <text>
        <r>
          <rPr>
            <sz val="11"/>
            <color rgb="FF000000"/>
            <rFont val="Tahoma"/>
          </rPr>
          <t>โอนลด ตามใบโอนครั้งที่ 6=150000
โอนลด ตามใบโอนครั้งที่ 6=250000
โอนลด ตามใบโอนครั้งที่ 6=100000</t>
        </r>
      </text>
    </comment>
    <comment ref="E193" authorId="0">
      <text>
        <r>
          <rPr>
            <sz val="11"/>
            <color rgb="FF000000"/>
            <rFont val="Tahoma"/>
          </rPr>
          <t>โอนเพิ่มตามใบโอนครั้งที่ 6=300000</t>
        </r>
      </text>
    </comment>
    <comment ref="E199" authorId="0">
      <text>
        <r>
          <rPr>
            <sz val="11"/>
            <color rgb="FF000000"/>
            <rFont val="Tahoma"/>
          </rPr>
          <t xml:space="preserve">โอนเพิ่ม ตามใบโอนครั้งที่ 2=100000
</t>
        </r>
      </text>
    </comment>
    <comment ref="E200" authorId="0">
      <text>
        <r>
          <rPr>
            <sz val="11"/>
            <color rgb="FF000000"/>
            <rFont val="Tahoma"/>
          </rPr>
          <t>โอนเพิ่ม ตามใบโอนครั้งที่ 2=20000</t>
        </r>
      </text>
    </comment>
    <comment ref="E201" authorId="0">
      <text>
        <r>
          <rPr>
            <sz val="11"/>
            <color rgb="FF000000"/>
            <rFont val="Tahoma"/>
          </rPr>
          <t>โอนเพิ่ม ตามใบโอนครั้งที่ 2=100000</t>
        </r>
      </text>
    </comment>
    <comment ref="E202" authorId="0">
      <text>
        <r>
          <rPr>
            <sz val="11"/>
            <color rgb="FF000000"/>
            <rFont val="Tahoma"/>
          </rPr>
          <t xml:space="preserve">โอนเพิ่ม ตามใบโอนครั้งที่ 6 =55000
</t>
        </r>
      </text>
    </comment>
    <comment ref="E203" authorId="0">
      <text>
        <r>
          <rPr>
            <sz val="11"/>
            <color rgb="FF000000"/>
            <rFont val="Tahoma"/>
          </rPr>
          <t>โอนเพิ่มตามใบโอนครั้งที่ 6=150000</t>
        </r>
      </text>
    </comment>
    <comment ref="E204" authorId="0">
      <text>
        <r>
          <rPr>
            <sz val="11"/>
            <color rgb="FF000000"/>
            <rFont val="Tahoma"/>
          </rPr>
          <t>โอนเพิ่ม ตามใบโอนครั้งที่ 6=250000</t>
        </r>
      </text>
    </comment>
    <comment ref="E205" authorId="0">
      <text>
        <r>
          <rPr>
            <sz val="11"/>
            <color rgb="FF000000"/>
            <rFont val="Tahoma"/>
          </rPr>
          <t>โอนเพิ่ม ตามใบโอนครั้งที่ 6=100000</t>
        </r>
      </text>
    </comment>
    <comment ref="E217" authorId="0">
      <text>
        <r>
          <rPr>
            <sz val="11"/>
            <color rgb="FF000000"/>
            <rFont val="Tahoma"/>
          </rPr>
          <t>โอนลด ตามใบโอนครั้งที่ 2=90000</t>
        </r>
      </text>
    </comment>
    <comment ref="E218" authorId="0">
      <text>
        <r>
          <rPr>
            <sz val="11"/>
            <color rgb="FF000000"/>
            <rFont val="Tahoma"/>
          </rPr>
          <t>โอนลด ตามใบโอนครั้งที่ 2=40000</t>
        </r>
      </text>
    </comment>
    <comment ref="E223" authorId="0">
      <text>
        <r>
          <rPr>
            <sz val="11"/>
            <color rgb="FF000000"/>
            <rFont val="Tahoma"/>
          </rPr>
          <t>โอนลด ตามใบโอนครั้งที่ 9=4300</t>
        </r>
      </text>
    </comment>
    <comment ref="E229" authorId="0">
      <text>
        <r>
          <rPr>
            <sz val="11"/>
            <color rgb="FF000000"/>
            <rFont val="Tahoma"/>
          </rPr>
          <t>โอนเพิ่มตามใบโอนครั้งที่่ 1 =216,000</t>
        </r>
      </text>
    </comment>
    <comment ref="E240" authorId="0">
      <text>
        <r>
          <rPr>
            <sz val="11"/>
            <color rgb="FF000000"/>
            <rFont val="Tahoma"/>
          </rPr>
          <t xml:space="preserve">โอนลด ตามใบโอนครั้งที่ 12=30000
</t>
        </r>
      </text>
    </comment>
    <comment ref="E241" authorId="0">
      <text>
        <r>
          <rPr>
            <sz val="11"/>
            <color rgb="FF000000"/>
            <rFont val="Tahoma"/>
          </rPr>
          <t>โอนลด ตามใบโอนครั้งที่ 12=70000</t>
        </r>
      </text>
    </comment>
    <comment ref="E242" authorId="0">
      <text>
        <r>
          <rPr>
            <sz val="11"/>
            <color rgb="FF000000"/>
            <rFont val="Tahoma"/>
          </rPr>
          <t>โอนลด ตามใบโอนครั้งที่่ 12=60000</t>
        </r>
      </text>
    </comment>
    <comment ref="E245" authorId="0">
      <text>
        <r>
          <rPr>
            <sz val="11"/>
            <color rgb="FF000000"/>
            <rFont val="Tahoma"/>
          </rPr>
          <t>โอนลด ตามใบโอนครั้งที่ 2 =10000</t>
        </r>
      </text>
    </comment>
    <comment ref="E247" authorId="0">
      <text>
        <r>
          <rPr>
            <sz val="11"/>
            <color rgb="FF000000"/>
            <rFont val="Tahoma"/>
          </rPr>
          <t>โอนเพิ่ม ตามใบโอนครั้งที่ =70000</t>
        </r>
      </text>
    </comment>
    <comment ref="E249" authorId="0">
      <text>
        <r>
          <rPr>
            <sz val="11"/>
            <color rgb="FF000000"/>
            <rFont val="Tahoma"/>
          </rPr>
          <t>โอนลด ตามใบโอนครั้งที่ 2=10000
โอนเพิ่มตามใบโอนครั้งที่ 7=20000</t>
        </r>
      </text>
    </comment>
    <comment ref="E258" authorId="0">
      <text>
        <r>
          <rPr>
            <sz val="11"/>
            <color rgb="FF000000"/>
            <rFont val="Tahoma"/>
          </rPr>
          <t>โอนลด ตามใบโอนครั้งที่ 2=7100</t>
        </r>
      </text>
    </comment>
    <comment ref="E259" authorId="0">
      <text>
        <r>
          <rPr>
            <sz val="11"/>
            <color rgb="FF000000"/>
            <rFont val="Tahoma"/>
          </rPr>
          <t>โอนลด ตามใบโอนครั้งที่ 2=17000</t>
        </r>
      </text>
    </comment>
    <comment ref="E260" authorId="0">
      <text>
        <r>
          <rPr>
            <sz val="11"/>
            <color rgb="FF000000"/>
            <rFont val="Tahoma"/>
          </rPr>
          <t>โอนลด ตามใบโอนครั้งที่ 2 =2500</t>
        </r>
      </text>
    </comment>
    <comment ref="E261" authorId="0">
      <text>
        <r>
          <rPr>
            <sz val="11"/>
            <color rgb="FF000000"/>
            <rFont val="Tahoma"/>
          </rPr>
          <t xml:space="preserve">โอนลด  ตามใบโอนครั้งที่  2 400000
โอนลด  ตามใบโอนครั้งที่  2 =80000
โอนลด  ตามใบโอนครั้งที่  2 100000
โอนลด  ตามใบโอนครั้งที่  2=64800
โอนลด  ตามใบโอนครั้งที่  2=120000
โอนลด  ตามใบโอนครั้งที่  2=100000
โอนลด  ตามใบโอนครั้งที่  2=20000
โอนลด  ตามใบโอนครั้งที่  2=100000
โอนลด  ตามใบโอนครั้งที่  2=10000
โอนลด  ตามใบโอนครั้งที่  2=5200
</t>
        </r>
      </text>
    </comment>
    <comment ref="E270" authorId="0">
      <text>
        <r>
          <rPr>
            <sz val="11"/>
            <color rgb="FF000000"/>
            <rFont val="Tahoma"/>
          </rPr>
          <t>โอนลดตามใบโอนครั้งที่ 1 =216,000</t>
        </r>
      </text>
    </comment>
    <comment ref="M272" authorId="0">
      <text>
        <r>
          <rPr>
            <sz val="11"/>
            <color rgb="FF000000"/>
            <rFont val="Tahoma"/>
          </rPr>
          <t xml:space="preserve">7 คน
</t>
        </r>
      </text>
    </comment>
    <comment ref="C276" authorId="0">
      <text>
        <r>
          <rPr>
            <sz val="11"/>
            <color rgb="FF000000"/>
            <rFont val="Tahoma"/>
          </rPr>
          <t xml:space="preserve">สองคน
</t>
        </r>
      </text>
    </comment>
    <comment ref="C277" authorId="0">
      <text>
        <r>
          <rPr>
            <sz val="11"/>
            <color rgb="FF000000"/>
            <rFont val="Tahoma"/>
          </rPr>
          <t>สองคน</t>
        </r>
      </text>
    </comment>
    <comment ref="E286" authorId="0">
      <text>
        <r>
          <rPr>
            <sz val="11"/>
            <color rgb="FF000000"/>
            <rFont val="Tahoma"/>
          </rPr>
          <t>โอนลด ตามใบโอนครั้งที่ 12=50000</t>
        </r>
      </text>
    </comment>
    <comment ref="C292" authorId="0">
      <text>
        <r>
          <rPr>
            <sz val="11"/>
            <color rgb="FF000000"/>
            <rFont val="Tahoma"/>
          </rPr>
          <t>user:
ค่าจัดการเรียนการสอน,ค่าอาหารกลางวันศูนย์เด็ก</t>
        </r>
      </text>
    </comment>
    <comment ref="E292" authorId="0">
      <text>
        <r>
          <rPr>
            <sz val="11"/>
            <color rgb="FF000000"/>
            <rFont val="Tahoma"/>
          </rPr>
          <t>โอนลดตามใบโอนครั้งที่ 12=200000</t>
        </r>
      </text>
    </comment>
    <comment ref="E300" authorId="0">
      <text>
        <r>
          <rPr>
            <sz val="11"/>
            <color rgb="FF000000"/>
            <rFont val="Tahoma"/>
          </rPr>
          <t xml:space="preserve">โอนลด ตามใบโอนครั้งที่ 12=140000
</t>
        </r>
      </text>
    </comment>
    <comment ref="E301" authorId="0">
      <text>
        <r>
          <rPr>
            <sz val="11"/>
            <color rgb="FF000000"/>
            <rFont val="Tahoma"/>
          </rPr>
          <t>โอนลด ตามใบโอนครั้งที่ 12=100000</t>
        </r>
      </text>
    </comment>
    <comment ref="E324" authorId="0">
      <text>
        <r>
          <rPr>
            <sz val="11"/>
            <color rgb="FF000000"/>
            <rFont val="Tahoma"/>
          </rPr>
          <t xml:space="preserve">โอนลด ตามใบโอนครั้งที่ 12=30000
โอนลด ตามใบโอนครั้งที่ 12=15000
โอนลด ตามใบโอนครั้งที่ 12=105000
</t>
        </r>
      </text>
    </comment>
    <comment ref="E327" authorId="0">
      <text>
        <r>
          <rPr>
            <sz val="11"/>
            <color rgb="FF000000"/>
            <rFont val="Tahoma"/>
          </rPr>
          <t>โอนเพิ่ม ตามใบโอนครั้งที่ 12=30000</t>
        </r>
      </text>
    </comment>
    <comment ref="E333" authorId="0">
      <text>
        <r>
          <rPr>
            <sz val="11"/>
            <color rgb="FF000000"/>
            <rFont val="Tahoma"/>
          </rPr>
          <t>โอนลด ตามใบโอนครั้งที่ 2 =7100</t>
        </r>
      </text>
    </comment>
    <comment ref="E334" authorId="0">
      <text>
        <r>
          <rPr>
            <sz val="11"/>
            <color rgb="FF000000"/>
            <rFont val="Tahoma"/>
          </rPr>
          <t>โอนลด ตามใบโอนครั้งที่ 2= 17000</t>
        </r>
      </text>
    </comment>
    <comment ref="E335" authorId="0">
      <text>
        <r>
          <rPr>
            <sz val="11"/>
            <color rgb="FF000000"/>
            <rFont val="Tahoma"/>
          </rPr>
          <t>โอนลด ตามใบโอนครั้งที่ 2 =2500</t>
        </r>
      </text>
    </comment>
    <comment ref="E336" authorId="0">
      <text>
        <r>
          <rPr>
            <sz val="11"/>
            <color rgb="FF000000"/>
            <rFont val="Tahoma"/>
          </rPr>
          <t xml:space="preserve">โอนเพิ่มตามใบโอนครั้งที่ 6=36000
</t>
        </r>
      </text>
    </comment>
    <comment ref="E339" authorId="0">
      <text>
        <r>
          <rPr>
            <sz val="11"/>
            <color rgb="FF000000"/>
            <rFont val="Tahoma"/>
          </rPr>
          <t>โอนลด ตามใบโอนครั้งที่ 11 =100000</t>
        </r>
      </text>
    </comment>
    <comment ref="E349" authorId="0">
      <text>
        <r>
          <rPr>
            <sz val="11"/>
            <color rgb="FF000000"/>
            <rFont val="Tahoma"/>
          </rPr>
          <t>โอนลด ตามใบโอนครั้งที่ 1 = 100,000</t>
        </r>
      </text>
    </comment>
    <comment ref="E350" authorId="0">
      <text>
        <r>
          <rPr>
            <sz val="11"/>
            <color rgb="FF000000"/>
            <rFont val="Tahoma"/>
          </rPr>
          <t>โอนลด ตามใบโอนครั้งที่ 1 =8,000
โอนลด ตามใบโอนครั้งที่ 2=10000</t>
        </r>
      </text>
    </comment>
    <comment ref="E351" authorId="0">
      <text>
        <r>
          <rPr>
            <sz val="11"/>
            <color rgb="FF000000"/>
            <rFont val="Tahoma"/>
          </rPr>
          <t>โอนลด ตามใบโอนครั้งที่ 12=40000</t>
        </r>
      </text>
    </comment>
    <comment ref="E352" authorId="0">
      <text>
        <r>
          <rPr>
            <sz val="11"/>
            <color rgb="FF000000"/>
            <rFont val="Tahoma"/>
          </rPr>
          <t xml:space="preserve">โอนลด  ตามใบโอนครั้งที่ 9=15000
</t>
        </r>
      </text>
    </comment>
    <comment ref="E355" authorId="0">
      <text>
        <r>
          <rPr>
            <sz val="11"/>
            <color rgb="FF000000"/>
            <rFont val="Tahoma"/>
          </rPr>
          <t>โอนลด  ตามใบโอนครั้งที่  9 =32000</t>
        </r>
      </text>
    </comment>
    <comment ref="E368" authorId="0">
      <text>
        <r>
          <rPr>
            <sz val="11"/>
            <color rgb="FF000000"/>
            <rFont val="Tahoma"/>
          </rPr>
          <t>โอนลด ตามใบโอนครั้งที 2 =10000</t>
        </r>
      </text>
    </comment>
    <comment ref="E387" authorId="0">
      <text>
        <r>
          <rPr>
            <sz val="11"/>
            <color rgb="FF000000"/>
            <rFont val="Tahoma"/>
          </rPr>
          <t>รับคืนผู้สูงอายุ 1200
โอนลด ตามใบโอนครั้งที่ 3=30000
โอนลด ตามใบโอนครั้งที่ 3=20000
โอนลด ตามใบโอนครั้งที่ 3=45000
โอนลด ตามใบโอนครั้งที่ 4=20000
โอนลด ตามใบโอนครั้งที่ 5=20000
โอนลด ตามใบโอนครั้งที่ 5=20000
โอนลด ตามใบโอนครั้งที่ 5=90000
โอนลด ตามใบโอนครั้งที่ 6=70000
โอนลด ตามใบโอนครั้งที่ 6=100000
โอนลด ตามใบโอนครั้งที่ 6=100000
โอนลด ตามใบโอนครั้งที่ 6=10000
โอนลด ตามใบโอนครั้งที่ 6=55000
โอนลด ตามใบโอนครั้งที่ 6=36000
โอนลด ตามใบโอนครั้งที่ 7= 63000
โอนลด ตามใบโอนครั้งที่ 7=110000
โอนลด ตามใบโอนครั้งที่ 7=30000
โอนลด ตามใบโอนครั้งที่ 7=70000
โอนลด ตามใบโอนครั้งที่ 7=20000
โอนลด ตามใบโอนครั้งที่ 7=30000
โอนลด ตามใบโอนครั้งที่ 7=35000
โอนลด ตามใบโอนครั้งที่ 8= 63000
โอนลด ตามใบโอนครั้งที่ 8= 20000
โอนลด ตามใบโอนครั้งที่ 8=50000
โอนเพิ่ม ตามใบโอนครั้ง 11=100000
โอนเพิ่ม ตามใบโอนครั้ง 12=140000
โอนเพิ่ม ตามใบโอนครั้ง 12=100000
 โอนเพิ่มตามใบโอนครั้งที่ 12= 50000
โอนเพิ่มตามใบโอนครั้งที่ 12=30000
โอนเพิ่มตามใบโอนครั้งที่ 12=40000
โอนเพิ่ม ตามใบโอนครั้ง 12=70000
โอนเพิ่ม ตามใบโอนครั้ง 12=60000
โอนเพิ่ม ตามใบโอนครั้ง 12=10000</t>
        </r>
      </text>
    </comment>
    <comment ref="H387" authorId="0">
      <text>
        <r>
          <rPr>
            <sz val="11"/>
            <color rgb="FF000000"/>
            <rFont val="Tahoma"/>
          </rPr>
          <t>รับคืนเบี้ยผู้สูงอายุ 1200</t>
        </r>
      </text>
    </comment>
    <comment ref="I387" authorId="0">
      <text>
        <r>
          <rPr>
            <sz val="11"/>
            <color rgb="FF000000"/>
            <rFont val="Tahoma"/>
          </rPr>
          <t xml:space="preserve">ตัดในระบบ 396600
</t>
        </r>
      </text>
    </comment>
    <comment ref="K387" authorId="0">
      <text>
        <r>
          <rPr>
            <sz val="11"/>
            <color rgb="FF000000"/>
            <rFont val="Tahoma"/>
          </rPr>
          <t xml:space="preserve">  ใรระบบ 12  มี.ค  63</t>
        </r>
      </text>
    </comment>
    <comment ref="L387" authorId="0">
      <text>
        <r>
          <rPr>
            <sz val="11"/>
            <color rgb="FF000000"/>
            <rFont val="Tahoma"/>
          </rPr>
          <t>ในระบบ  13  เม.ย  63</t>
        </r>
      </text>
    </comment>
    <comment ref="M387" authorId="0">
      <text>
        <r>
          <rPr>
            <sz val="11"/>
            <color rgb="FF000000"/>
            <rFont val="Tahoma"/>
          </rPr>
          <t>ตัดในระบบ 13 พ.ค 63</t>
        </r>
      </text>
    </comment>
    <comment ref="N387" authorId="0">
      <text>
        <r>
          <rPr>
            <sz val="11"/>
            <color rgb="FF000000"/>
            <rFont val="Tahoma"/>
          </rPr>
          <t>ตัดในระะบบ วีนที่  11 มิ.ย.63</t>
        </r>
      </text>
    </comment>
    <comment ref="I388" authorId="0">
      <text>
        <r>
          <rPr>
            <sz val="11"/>
            <color rgb="FF000000"/>
            <rFont val="Tahoma"/>
          </rPr>
          <t>ตัดในระบบ 113600</t>
        </r>
      </text>
    </comment>
    <comment ref="K388" authorId="0">
      <text>
        <r>
          <rPr>
            <sz val="11"/>
            <color rgb="FF000000"/>
            <rFont val="Tahoma"/>
          </rPr>
          <t>ในระบบ   12  มี.ค  63</t>
        </r>
      </text>
    </comment>
    <comment ref="L388" authorId="0">
      <text>
        <r>
          <rPr>
            <sz val="11"/>
            <color rgb="FF000000"/>
            <rFont val="Tahoma"/>
          </rPr>
          <t>ตัดในระบบ  13  เม.ย  63</t>
        </r>
      </text>
    </comment>
    <comment ref="M388" authorId="0">
      <text>
        <r>
          <rPr>
            <sz val="11"/>
            <color rgb="FF000000"/>
            <rFont val="Tahoma"/>
          </rPr>
          <t xml:space="preserve">ตัดในระบบ 13 พ.ค 63
</t>
        </r>
      </text>
    </comment>
    <comment ref="N388" authorId="0">
      <text>
        <r>
          <rPr>
            <sz val="11"/>
            <color rgb="FF000000"/>
            <rFont val="Tahoma"/>
          </rPr>
          <t>ตัดในระบบ 11 มิ.ย.63</t>
        </r>
      </text>
    </comment>
    <comment ref="E394" authorId="0">
      <text>
        <r>
          <rPr>
            <sz val="11"/>
            <color rgb="FF000000"/>
            <rFont val="Tahoma"/>
          </rPr>
          <t xml:space="preserve">13/11/2562 เพิ่มอีก 9950
13/11/2562 เพิ่มอีก 9950
13/11/2562 เพิ่มอีก  46375
05/02/2563 เพิ่มอีก  15000
14/02/2563 เพิ่มอีก  15000  </t>
        </r>
      </text>
    </comment>
    <comment ref="F410" authorId="0">
      <text>
        <r>
          <rPr>
            <sz val="11"/>
            <color rgb="FF000000"/>
            <rFont val="Tahoma"/>
          </rPr>
          <t xml:space="preserve">user:
ลบประกันสังคมเพราะรวมไปกับเงินเดือนแล้ว
</t>
        </r>
      </text>
    </comment>
  </commentList>
</comments>
</file>

<file path=xl/sharedStrings.xml><?xml version="1.0" encoding="utf-8"?>
<sst xmlns="http://schemas.openxmlformats.org/spreadsheetml/2006/main" count="515" uniqueCount="338">
  <si>
    <t>งบประมาณรายจ่าย  ประจำปีงบประมาณ 2563/Expenditure budget Fiscal year 2020</t>
  </si>
  <si>
    <t xml:space="preserve">สำนักปลัด/Permanent Bureau
</t>
  </si>
  <si>
    <t>งบตั้งไว้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</si>
  <si>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</si>
  <si>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</si>
  <si>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</si>
  <si>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</si>
  <si>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</si>
  <si>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</si>
  <si>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</si>
  <si>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</si>
  <si>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</si>
  <si>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</si>
  <si>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</si>
  <si>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</si>
  <si>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คงเหลือ</t>
  </si>
  <si>
    <t xml:space="preserve">1.งบบุคลากร                             </t>
  </si>
  <si>
    <t>เงินเดือน (ฝ่ายการเมือง)</t>
  </si>
  <si>
    <t xml:space="preserve">     1.1 เงินเดือนนายกและรองนายก อบต.</t>
  </si>
  <si>
    <t xml:space="preserve">     1.2 เงินค่าตอบแทนประจำตำแหน่งนายก/รองนายก</t>
  </si>
  <si>
    <t xml:space="preserve">     1.3 เงินค่าตอบแทนพิเศษนายก/รองนายก อบต.</t>
  </si>
  <si>
    <t xml:space="preserve">     1.4 เงินค่าตอบแทนเลขานุการนายก อบต.</t>
  </si>
  <si>
    <t xml:space="preserve"> </t>
  </si>
  <si>
    <t xml:space="preserve">     1.5 เงินค่าตอบแทนสมาชิกสภา อบต.</t>
  </si>
  <si>
    <t xml:space="preserve">     1.6 เงินค่าตอบแทนอื่น</t>
  </si>
  <si>
    <t>เงินเดือน (ฝ่ายประจำ)</t>
  </si>
  <si>
    <t xml:space="preserve">     1.7 เงินเดือนพนักงานส่วนตำบล</t>
  </si>
  <si>
    <t xml:space="preserve">     1.8 เงินประจำตำแหน่ง</t>
  </si>
  <si>
    <t xml:space="preserve">     1.9 ค่าจ้างลูกจ้างประจำ</t>
  </si>
  <si>
    <t xml:space="preserve">     1.10 ค่าตอบแทนพนักงานจ้าง</t>
  </si>
  <si>
    <t xml:space="preserve">     1.11 เงินเพิ่มการครองชีพชั่วคราว พนักงานจ้าง</t>
  </si>
  <si>
    <t xml:space="preserve">     1.12 เงินอื่นๆ (ค่าตอบแทนพิเศษพนักงานส่วนตำบล)</t>
  </si>
  <si>
    <t>2. งบดำเนินงาน</t>
  </si>
  <si>
    <t>หมวดค่าตอบแทน</t>
  </si>
  <si>
    <t xml:space="preserve">     2.1 ค่าตอบแทนผู้ปฏิบัติราชการอันเป็นประโยชน์แก่องค์กรปกครองส่วนท้องถิ่น</t>
  </si>
  <si>
    <t xml:space="preserve">     2.2 ค่าตอบแทนการปฏิบัตงานนอกเวลา</t>
  </si>
  <si>
    <t xml:space="preserve">     2.3 เงินช่วยเหลือค่าเช่าบ้าน</t>
  </si>
  <si>
    <t xml:space="preserve">     2.4 เงินช่วยเหลือการศึกษาบุตร</t>
  </si>
  <si>
    <t>หมวดค่าใช้สอย</t>
  </si>
  <si>
    <t xml:space="preserve">     2.5 ประเภทรายจ่ายให้ได้มาซึ่งบริการ</t>
  </si>
  <si>
    <t>1.) ค่าจ้างเหมาบริการ</t>
  </si>
  <si>
    <t>2.) ค่าจ้างเหมาแม่บ้านทำความสะอาดที่ทำการ อบต.</t>
  </si>
  <si>
    <t>3.) ค่าจ้างเหมาเจ้าหน้าที่บันทึกข้อมูล</t>
  </si>
  <si>
    <t>4.) ค่าจ้างเหมาพนักงานขับรถยนต์</t>
  </si>
  <si>
    <t>5.) ค่าจ้างเหมาพนักงานดับเพลิง</t>
  </si>
  <si>
    <t xml:space="preserve">6.)  ค่าจ้างเหมาพนักงานผลิตน้ำประปา </t>
  </si>
  <si>
    <r>
      <t xml:space="preserve">   </t>
    </r>
    <r>
      <rPr>
        <b/>
        <sz val="9"/>
        <color rgb="FF000000"/>
        <rFont val="Tahoma"/>
      </rPr>
      <t xml:space="preserve">  2.6 ประเภทรายจ่ายเกี่ยวกับการรับรองและพิธีการ</t>
    </r>
  </si>
  <si>
    <t>1.) ค่ารับรองในการต้อนรับบุลคล หรือคณะบุคคล</t>
  </si>
  <si>
    <t>2.) ค่าเลี้ยงรับรองในการประชุมสภาท้องถิ่น</t>
  </si>
  <si>
    <t>3.) ค่าใช้จ่ายในการจัดงานวันสำคัญของทางราชการ</t>
  </si>
  <si>
    <t>แผนงานบริหารทั่วไป</t>
  </si>
  <si>
    <t xml:space="preserve">     2.7 ประเภทรายจ่ายเกี่ยวเนื่องกับการปฏิบัติราชการที่ไม่เข้าลักษณะรายจ่ายหมวดอื่นๆ</t>
  </si>
  <si>
    <t>1.) ค่าใช้จ่ายการเดินทางไปราชการ</t>
  </si>
  <si>
    <t>2.) โครงการฝึกอบรมเพิ่มพูนประสิทธิภาพและศึกษาดูงาน</t>
  </si>
  <si>
    <t>3.) โครงการอบรมคุณธรรมจริยธรรมบุคลากรในองค์กร</t>
  </si>
  <si>
    <t>4.) โครงการแข่งขันกีฬาพัฒนาสมรรถนะและคุณภาพชีวิตบุคลากรท้องถิ่น</t>
  </si>
  <si>
    <t>5.) โครงการสนับสนุนค่าใช้จ่ายในการเลือกตั้ง</t>
  </si>
  <si>
    <t>แผนงานการรักษาความสงบภายใน</t>
  </si>
  <si>
    <t>6.) โครงการฝึกอบรม สมาชิก อปพร.</t>
  </si>
  <si>
    <t>7.) โครงการอำนวยความสะดวกและช่วยเหลือประชาชนช่วงเทศกาลออกพรรษา</t>
  </si>
  <si>
    <t>8.) โครงการอำนวยความสะดวกและช่วยเหลือประชาชนช่วงเทศกาลปีใหม่</t>
  </si>
  <si>
    <t>9.) โครงการอำนวยความสะดวกและช่วยเหลือประชาชนช่วงเทศกาลสงกรานต์</t>
  </si>
  <si>
    <t>แผนงานสร้างความเข้มแข็งของชุมชน</t>
  </si>
  <si>
    <t>10.) โครงการส่งเสริมและสนับสนุนกระบวนการจัดทำแผนชุมชน</t>
  </si>
  <si>
    <t>11.) โครงการจัดประชุมประชาคมแผนพัฒนาท้องถิ่นห้าปี</t>
  </si>
  <si>
    <t>12.) โครงการหมู่บ้านสะอาด ชุมชนน่าอยู่</t>
  </si>
  <si>
    <t>13.) โครงการแข่งขันกีฬา เพื่อต้านยาเสพติด</t>
  </si>
  <si>
    <t>14.) โครงการแข่งขันกีฬาเยาวชน ห่างไกลยาเสพติด</t>
  </si>
  <si>
    <t>15.) โครงการจัดเก็บข้อมูลพื้นฐาน</t>
  </si>
  <si>
    <t>16.) โครงการ อบต.สมสนุก เคลื่อนที่</t>
  </si>
  <si>
    <t>17.) โครงการเสริมสร้างคุณธรรมและจริยธรรมแก่ประชาชนทั่วไป</t>
  </si>
  <si>
    <t>18.) โครงการฝึกอบรมพัฒนาส่งเสริมกิจกรรมกลุ่มสตรี</t>
  </si>
  <si>
    <t>19.) โครงการอบรมพัฒนาฝีมือแรงงานกลุ่มสตรี</t>
  </si>
  <si>
    <t>20.) โครงการฝึกอบรมและส่งเสริมอาชีพผู้พิการ</t>
  </si>
  <si>
    <t>21.) โครงการพัฒนาศักยภาพสภาเด็กและเยาวชนตำบลสมสนุก</t>
  </si>
  <si>
    <t>22.) โครงกาiเยาวชนรุ่นใหม่ ห่างไกลยาเสพติด</t>
  </si>
  <si>
    <t>23.) โครงการป้องกันและแก้ไขปัญหาความรุนแรงในครอบครัว</t>
  </si>
  <si>
    <t>24.) โครงการวันผู้สูงอายุ</t>
  </si>
  <si>
    <t xml:space="preserve">     2.8 ประเภทรายจ่ายเพื่อบำรุงรักษา หรือซ่อมแซมทรัพย์สิน</t>
  </si>
  <si>
    <t>1.) ค่าบำรุงรักษาหรือซ่อมแซมทรัพย์สิน</t>
  </si>
  <si>
    <t>2.) ค่าบำรุงรักษาและซ่อมแซมกิจการประปา</t>
  </si>
  <si>
    <t>หมวดค่าวัสดุ</t>
  </si>
  <si>
    <t xml:space="preserve">     2.9 ประเภทวัสดุสำนักงาน</t>
  </si>
  <si>
    <t>1.) ค่าวัสดุสำนักงาน + ค่าน้ำดื่ม</t>
  </si>
  <si>
    <t xml:space="preserve">     2.10 ประเภทวัสดุไฟฟ้า และวิทยุ</t>
  </si>
  <si>
    <t xml:space="preserve">     2.11 ประเภทวัสดุงานบ้านงานครัว</t>
  </si>
  <si>
    <t xml:space="preserve">     2.12 ประเภทวัสดุก่อสร้าง</t>
  </si>
  <si>
    <t xml:space="preserve">     2.13 ประเภทวัสดุยานพาหนะและขนส่ง</t>
  </si>
  <si>
    <t xml:space="preserve">     2.14 ประเภทวัสดุเชื้อเพลิงและหล่อลื่น</t>
  </si>
  <si>
    <t xml:space="preserve">     2.15 ประเภทวัสดุโฆษณาและเผยแพร่</t>
  </si>
  <si>
    <t xml:space="preserve">     2.16 ประเภทวัสดุคอมพิวเตอร์</t>
  </si>
  <si>
    <t xml:space="preserve">     2.17 ประเภทวัสดุเครื่องดับเพลิง</t>
  </si>
  <si>
    <t xml:space="preserve">     2.18 ประเภทวัสดุอื่นๆ</t>
  </si>
  <si>
    <t>1.) ค่าจัดซื้อคลอรีนและสารส้ม</t>
  </si>
  <si>
    <t>2.) ค่าวัสดุอื่น</t>
  </si>
  <si>
    <t>หมวดค่าสาธารณูปโภค</t>
  </si>
  <si>
    <r>
      <t xml:space="preserve">     2.19 ประเภทค่า</t>
    </r>
    <r>
      <rPr>
        <b/>
        <sz val="11"/>
        <rFont val="Tahoma"/>
      </rPr>
      <t>ไฟฟ้า</t>
    </r>
    <r>
      <rPr>
        <sz val="11"/>
        <color rgb="FF000000"/>
        <rFont val="Tahoma"/>
      </rPr>
      <t>สำนักงาน</t>
    </r>
  </si>
  <si>
    <t xml:space="preserve">     2.20 ประเภทค่าไฟฟ้ากิจการประปา</t>
  </si>
  <si>
    <r>
      <t xml:space="preserve">     2.21 ประเภทค่า</t>
    </r>
    <r>
      <rPr>
        <b/>
        <sz val="11"/>
        <rFont val="Tahoma"/>
      </rPr>
      <t>โทรศัพท์</t>
    </r>
    <r>
      <rPr>
        <sz val="11"/>
        <color rgb="FF000000"/>
        <rFont val="Tahoma"/>
      </rPr>
      <t>สำนักงาน</t>
    </r>
  </si>
  <si>
    <t xml:space="preserve">     2.22 ประเภทค่าไปรษณีย์</t>
  </si>
  <si>
    <t xml:space="preserve">     2.23 ประเภทค่าบริการด้านโทรคมนาคม</t>
  </si>
  <si>
    <t>3. งบลงทุน</t>
  </si>
  <si>
    <t>หมวดครุภัณฑ์ ที่ดินและสิ่งก่อสร้าง</t>
  </si>
  <si>
    <t>ครุภัณฑ์</t>
  </si>
  <si>
    <t xml:space="preserve">     3.1 ค่าครุภัณฑ์สำนักงาน</t>
  </si>
  <si>
    <t>1.) ตู้เหล็กแบบ 2 บาน</t>
  </si>
  <si>
    <t>2.) เก้าอี้สำหรับห้องประชุมสภา</t>
  </si>
  <si>
    <t>3.)ติดตั้งครุภัณฑ์เครื่องปรับอากาศ</t>
  </si>
  <si>
    <t>4.)เครื่องถ่ายเอกสารและเครื่องพิมพ์เอกสาร</t>
  </si>
  <si>
    <t>5.)ค่าวางระบบสำรองไฟฟ้า</t>
  </si>
  <si>
    <t xml:space="preserve"> 6.)เครื่องฉายภาพข้ามศรีษะ จำนวน 1 เครื่อง</t>
  </si>
  <si>
    <t xml:space="preserve">     3.2 ครุภัณฑ์คอมพิวเตอร์</t>
  </si>
  <si>
    <t>1.)เครื่องพิมพ์แบบฉีดหมึก</t>
  </si>
  <si>
    <t>2.)เครื่องคอมพิวตอร์</t>
  </si>
  <si>
    <t>3.)เครื่องสำรองไฟฟ้า</t>
  </si>
  <si>
    <t xml:space="preserve">     3.3 ครุภัณฑ์การเกษตร</t>
  </si>
  <si>
    <t>1.)เคร่องสูบน้ำแบบหอยโข่ง</t>
  </si>
  <si>
    <t xml:space="preserve">     3.4 ครุภัณฑ์ยานพาหนะและขนส่ง</t>
  </si>
  <si>
    <t>1.) รถส่วนกลาง (รถบรรทุกดีเซล</t>
  </si>
  <si>
    <t xml:space="preserve">     3.5) ครุภัณฑ์อื่นๆ</t>
  </si>
  <si>
    <t>1.)จัดซื้อเต้นทรงโค้ง</t>
  </si>
  <si>
    <t>2.)ติดตั้งระบบกล้องวงจรปิด</t>
  </si>
  <si>
    <t>ที่ดินและสิ่งก่อสร้าง</t>
  </si>
  <si>
    <t>1.) โครงการก่อสร้างอาคารเอนกประสงค์ ม.1</t>
  </si>
  <si>
    <t>2.) โครงการก่อสร้างโรงจอดรถ</t>
  </si>
  <si>
    <t>3.)ต่อเติมอาคารสำนักงาน อบต. สมสนุก</t>
  </si>
  <si>
    <t>4.)ต่อเติมศาลาประชาคม หมู่ที่ 1 บ้านศรีสว่าง</t>
  </si>
  <si>
    <t>5.)ค่าจ้างทำป้ายหมู่บ้านและบอกทางในตำบลสมสนุก</t>
  </si>
  <si>
    <t>4. หมวดเงินอุดหนุน</t>
  </si>
  <si>
    <t xml:space="preserve">     4.1 ประเภทเงินอุดหนุนของรัฐหรือองค์กรเอกชนในกิจกรรมอันเป็นสาธารณประโยชน์</t>
  </si>
  <si>
    <t>1.) อุดหนุนองค์กรปกครองส่วนท้องถิ่น</t>
  </si>
  <si>
    <t>2.) อุดหนุนส่วนราชการ (งานกาชาดจังหวักบึงกาฬ)</t>
  </si>
  <si>
    <t>3.) อุดหนุนส่วนราชกา (สนับสนุการดำเนินงานปากคาด)</t>
  </si>
  <si>
    <t>รวม</t>
  </si>
  <si>
    <t>.</t>
  </si>
  <si>
    <t>ส่วนการคลัง/Finance</t>
  </si>
  <si>
    <t>พ.ค</t>
  </si>
  <si>
    <t>1.1 เงินเดือนพนักงานส่วนตำบล</t>
  </si>
  <si>
    <t>1.2 เงินประจำตำแหน่ง</t>
  </si>
  <si>
    <t>1.3 ค่าจ้างลูกจ้างประจำ</t>
  </si>
  <si>
    <t>1.4 ค่าจ้างพนักงานจ้าง</t>
  </si>
  <si>
    <t>1.5 เงินเพิ่มการครองชีพชั่วคราว พนักงานจ้าง</t>
  </si>
  <si>
    <t>2. งบดำเนินการ</t>
  </si>
  <si>
    <t>2.1 ค่าตอบแทนผู้ปฏิบัติราชการอันเป็นประโยชน์แก่องค์กรปกครองส่วนท้องถิ่น</t>
  </si>
  <si>
    <t>2.2 ค่าตอบแทนการปฏิบัตงานนอกเวลา</t>
  </si>
  <si>
    <t>2.3 เงินช่วยเหลือการศึกษาบุตร</t>
  </si>
  <si>
    <t>2.5 ประเภทรายจ่ายให้ได้มาซึ่งบริการ</t>
  </si>
  <si>
    <t>2.) ค่าจ้างเหมาเจ้าหน้าที่การเงินการบัญชี</t>
  </si>
  <si>
    <t>3.) ค่าจ้างเหมาเจ้าหน้าที่เก็บน้ำปะปา</t>
  </si>
  <si>
    <t xml:space="preserve"> 4.) ค่าจ้างเหมาบันทึกข้อมูล</t>
  </si>
  <si>
    <t>2.6 ประเภทรายจ่ายเกี่ยวเนื่องกับการปฏิบัติราชการที่ไม่เข้าลักษณะรายจ่ายหมวดอื่นๆ</t>
  </si>
  <si>
    <t>2.) โครงการจักเก็บภาษีนอกสถานที่</t>
  </si>
  <si>
    <t>2.7 ประเภทรายจ่ายเพื่อบำรุงรักษา หรือซ่อมแซมทรัพย์สิน</t>
  </si>
  <si>
    <t>2.8 ประเภทวัสดุสำนักงาน</t>
  </si>
  <si>
    <t>2.9 ประเภทค่าวัสดุน้ำมันเชื้อเพลิงและหล่อลื่น</t>
  </si>
  <si>
    <t>2.10 ประเภทวัสดุคอมพิวเตอร์</t>
  </si>
  <si>
    <t xml:space="preserve">กองช่าง/Technician Division
</t>
  </si>
  <si>
    <t>1.3 ค่าจ้างพนักงานจ้าง</t>
  </si>
  <si>
    <t>1.4 เงินเพิ่มการครองชีพชั่วคราว พนักงานจ้าง</t>
  </si>
  <si>
    <t>2.) ค่าจ้างเหมาช่างไฟฟ้า</t>
  </si>
  <si>
    <t>3.) ค่าจ้างเหมาช่างเขียนแบบ</t>
  </si>
  <si>
    <t>2.) โครงการปรับปรุงและซ่อมแซมถนนลูกรัง ม.5</t>
  </si>
  <si>
    <t>2.11 ประเภทวัสดุก่อสร้าง</t>
  </si>
  <si>
    <t>2.12 ประเภทค่าวัสดุไฟฟ้าและวิทยุ</t>
  </si>
  <si>
    <t>หมวดสาธารณูปโภค</t>
  </si>
  <si>
    <t>2.13 ประเภทค่าไฟฟ้าส่องสว่างทางสาธารณะ</t>
  </si>
  <si>
    <t>3.1 ค่าที่ดินและสิ่งก่อสร้าง</t>
  </si>
  <si>
    <t>1.)  โครงการก่อสร้างรางระบายน้ำ คสล.ม.1</t>
  </si>
  <si>
    <t>1.)  โครงการก่อสร้างรางระบายน้ำ คสล.ม.2</t>
  </si>
  <si>
    <t>3.)  โครงการก่อสร้างสะพาน คสล. หมู่ 4</t>
  </si>
  <si>
    <t>4.)  โครงการก่อสร้างถนน คสล. หมู่ 3</t>
  </si>
  <si>
    <t>5.) โครงการก่อสร้างถนนลูกรัง หมู่ที่ 5 บ้านโป่งไฮ</t>
  </si>
  <si>
    <t>6.)  โครงการก่อสร้างรางระบายน้ำ คสล.หมู่ 6</t>
  </si>
  <si>
    <t>7.)  โครงการวางท่อระบายน้ำหมู่  คสล.ม.6</t>
  </si>
  <si>
    <t>8.) โครงการก่อสร้างรางระบายน้ำ คสล. หมู่ 7</t>
  </si>
  <si>
    <t>9.) โครงการก่อสร้างถนนคอนกรีตเสริมเหล็ก หมู่ 8</t>
  </si>
  <si>
    <t>10.) โครงการก่อสร้างถนน คสล.หน้าศูนย์เด็ก ม.7</t>
  </si>
  <si>
    <t>11.)ค่าจ้างเหมาติดตั้งระบบไฟฟ้าส่องสว่าง หมู่ 5</t>
  </si>
  <si>
    <t>12.)ค่าจ้างเหมาติดตั้งระบบไฟฟ้าส่องสว่าง หมู่ 1</t>
  </si>
  <si>
    <t>13.)จ้างค่าออกแบบและควบคุมงาน</t>
  </si>
  <si>
    <t>14.) โครงการปรับปรุงซ่อมแซมถนน คสล. หมู่ 5</t>
  </si>
  <si>
    <t>15.) โครงการก่อสร้างรางระบายน้ำ คสล.หมู่ที่4 ซอยพ่อเป</t>
  </si>
  <si>
    <t>16.) โครงการก่อสร้างรางระบายน้ำ คสล. หมู่ 4 ซอยพ่อสุวรรณ</t>
  </si>
  <si>
    <t>17.) โครงการจ้างขยายเขตไฟฟ้าแรงต่ำ หมู่ 3</t>
  </si>
  <si>
    <t xml:space="preserve">1.) อุดหนุนส่วนราชการ </t>
  </si>
  <si>
    <t xml:space="preserve">     - ค่าติดตั้งระบบไฟฟ้าส่องสว่างทาง ม.3</t>
  </si>
  <si>
    <t xml:space="preserve">     - ค่าขยายเขตไฟฟ้าเพื่อการเกษตร ม.5</t>
  </si>
  <si>
    <t xml:space="preserve">     - ค่าขยายเขตไฟฟ้าเพื่อการเกษตร ม.7</t>
  </si>
  <si>
    <t>กองสาธารณสุข/Public Health Division</t>
  </si>
  <si>
    <t>1.งบบุคลากร</t>
  </si>
  <si>
    <t>1.2 เงินประจำตำแหน่งพนักงานส่วนตำบล</t>
  </si>
  <si>
    <t>ประเภทรายจ่ายเพื่อให้ได้มาซึ่งบริการ</t>
  </si>
  <si>
    <t>2.) ค่าจ้างเหมากู้ชีพ</t>
  </si>
  <si>
    <t xml:space="preserve">        3.) ค่าจ้างเหมาเจ้าหน้าที่ประจำรถขยะ</t>
  </si>
  <si>
    <t>2.5 ประเภทรายจ่ายเกี่ยวเนื่องกับการปฏิบัติราชการที่ไม่เข้าลักษณะรายจ่ายหมวดอื่นๆ</t>
  </si>
  <si>
    <t xml:space="preserve">   </t>
  </si>
  <si>
    <t>2.) โครงการรณรงค์โรคพิษสุนัขบ้า</t>
  </si>
  <si>
    <t>3.) โครงการรณรงค์โรคไข้เลือดออก</t>
  </si>
  <si>
    <t>4.) โครงการธนาคารขยะ</t>
  </si>
  <si>
    <t>5.) โครงการชุมชนปลอดขยะ</t>
  </si>
  <si>
    <t>6.) โครงการโรงเรียนปลอดขยะ</t>
  </si>
  <si>
    <t>7.) โครงการฝึกอบรมทีมกู้ชีพกู้ภัย</t>
  </si>
  <si>
    <t>8.) โครงการส่งเสริมสุขภาพผู้สูงอายุ ผู้พิการ ผู้ด้อยโอกาส</t>
  </si>
  <si>
    <t>9.) โครงการอบรมหมอหมู่บ้านในพระราชประสงค์</t>
  </si>
  <si>
    <t>10.) โครงการพัฒนาระบบสุขาภิบาลในโรงเรียนและชุมชน</t>
  </si>
  <si>
    <t>11.) โครงการรณรงค์และแก้ไขปัญหายาเสพติด To be number one</t>
  </si>
  <si>
    <t>12.) ประเภทรายจ่ายเพื่อบำงรุงรักษา หรือซ่อมแซมทรัพย์สิน</t>
  </si>
  <si>
    <t>2.6 ประเภทวัสดุสำนักงาน</t>
  </si>
  <si>
    <t>2.7 ประเภทค่าวัสดุยานพาหนะขนส่ง</t>
  </si>
  <si>
    <t>2.8 ประเภทค่าวัสดุน้ำมันเชื้อเพลิงและหล่อลื่น</t>
  </si>
  <si>
    <t>2.9 ประเภทวัสดุคอมพิวเตอร์</t>
  </si>
  <si>
    <t>2.10 ประเภทวัสดุก่อสร้าง</t>
  </si>
  <si>
    <t>2.11 ประเภทวัสดุเครื่องแต่งกาย</t>
  </si>
  <si>
    <t>2.13 ประเภทค่าวัสดุวิทยาศษสตร์หรือการแพทย์</t>
  </si>
  <si>
    <t>2.14 ประเภทวัสดุอื่นๆ</t>
  </si>
  <si>
    <t>1.) ค่าจัดซื้อถังขยะ</t>
  </si>
  <si>
    <t xml:space="preserve">3. งบลงทุน                              </t>
  </si>
  <si>
    <t>ค่าครุภัณฑ์</t>
  </si>
  <si>
    <t>3.1 ตู้เหล็กแบบ 2 บาน</t>
  </si>
  <si>
    <t>3.2 เครื่องพิมพ์แบบฉีดหมึก</t>
  </si>
  <si>
    <t>3.2 เครื่องคอมพิวเตอร์</t>
  </si>
  <si>
    <t>3.2 เครื่องสำรองไฟฟ้า</t>
  </si>
  <si>
    <t>3.3 จัดซื้อรถพยาบาลฉุกเฉิน (รถกระบะ)</t>
  </si>
  <si>
    <t>4.1 อุดหนุนองค์กรปกครองส่วนท้องถิ่น</t>
  </si>
  <si>
    <t>กองการศึกษา/Education Division</t>
  </si>
  <si>
    <t>1.4 เงินเพิ่มการครองชีพชั่วคราวของพนักงานจ้าง</t>
  </si>
  <si>
    <t>1.5 เงินเดือนครูผู้ดูแลเด็ก</t>
  </si>
  <si>
    <t xml:space="preserve">1.6 เงินวิทยฐานะชำนาญการ </t>
  </si>
  <si>
    <t>1.7 เงินค่าตอบแทนพนักงานจ้าง</t>
  </si>
  <si>
    <t>1.8 เงินเพิ่มการครองชีพชั่วคราว พนักงานจ้าง</t>
  </si>
  <si>
    <t xml:space="preserve">2.4 เงินช่วยเหลือค่าเช่าบ้าน </t>
  </si>
  <si>
    <t>2.5 ประเภทรายจ่ายเพื่อให้ได้มาซึ่งบริการ</t>
  </si>
  <si>
    <t>2.) ค่าจ้างเหมาแม่บ้านศูนย์พัฒนาเด็กเล็ก</t>
  </si>
  <si>
    <t>3.) ค่าจ้างเหมายามศูนย์พัฒนาเด็กเล็ก</t>
  </si>
  <si>
    <t>4.) ค่าจ้างเหมาผู้ช่วยธุรการ การเงินและบัญชี</t>
  </si>
  <si>
    <t xml:space="preserve">2.) โครงการสนับสนุนค่าใช้จ่ายในการบริหารสถานศึกษา </t>
  </si>
  <si>
    <t>3.) โครงการสร้างเสริมความรู้คณะกรรมการศูนย์พัฒนาเด็กเล็ก</t>
  </si>
  <si>
    <t>4.) โครงการจัดงานประเพณีทำบุญตักบาตรวันขึ้นปีใหม่</t>
  </si>
  <si>
    <t>5.) โครงการเสริมสร้างคุณธรรมจริยธรรมให้กับเด็กนักเรียน</t>
  </si>
  <si>
    <t>6.) โครงการจัดงานวันสงกรานต์</t>
  </si>
  <si>
    <t>7.) โครงการอบรมศีลธรรม จริยธรรม วันเข้าพรรษา</t>
  </si>
  <si>
    <t>8.) โครงการปฏิบัติธรรมช่วงเทศกาลเข้าพรรษา</t>
  </si>
  <si>
    <t>9.) โครงการแข่งเรือประเพณีและลอยกระทง</t>
  </si>
  <si>
    <t>10.) โครงการประเพณีบุญบั้งไฟตำบลสมสนุก</t>
  </si>
  <si>
    <t>11.) โครงการประเพณีของดีปากคาด</t>
  </si>
  <si>
    <t>12.) โครงการจัดกิจกรรมวันเด็กแห่งชาติ</t>
  </si>
  <si>
    <t>13.) โครงการจัดนิทรรศการศูนย์พัฒนาเด็กเล็ก 4.0</t>
  </si>
  <si>
    <t>14.) โครงการโรงเรียนผู้ปกครอง</t>
  </si>
  <si>
    <t>15.) โครงการเรียนรู้ภูมิปัญญาชาวบ้าน</t>
  </si>
  <si>
    <t>16.) โครงการเสริมสร้าง อีคิว(EQ) และไอคิว(IQ)</t>
  </si>
  <si>
    <t>17.) ค่าใช้จ่ายในการจัดงานวันเฉลิมพระชนมพรรษา</t>
  </si>
  <si>
    <t>18.) โครงการจัดปฐมนิเทศและประชุมผู้ปกครอง</t>
  </si>
  <si>
    <t>19.) โครงการแข่งขันกีฬาศูนย์พัฒนาเด็กเล็ก</t>
  </si>
  <si>
    <t>1.) ค่าบำรุงรักษา ซ่อมแซมทรัพย์สินอาคารศูนย์พัฒนาเด็กเล็ก</t>
  </si>
  <si>
    <t>2.) ค่าบำรุงรักษา ซ่อมแซมทรัพย์สิน</t>
  </si>
  <si>
    <t>1.) ค่าวัสดุสำนักงาน+ ค่าน้ำดื่ม</t>
  </si>
  <si>
    <t>2.9  ประเภทค่าวัสดุไฟฟ้าและวิทยุ</t>
  </si>
  <si>
    <t>2.10  ประเภทค่าวัสดุงานบ้านงานครัว</t>
  </si>
  <si>
    <t>2.11 ประเภทค่าวัสดุก่อสร้าง</t>
  </si>
  <si>
    <t>2.12 ประเภทค่าวัสดุวิทยาศาสตร์หรือการแพทย์</t>
  </si>
  <si>
    <t>2.13 ประเภทค่าวัสดุเกษตร</t>
  </si>
  <si>
    <t>2.14 ประเภทวัสดุโฆษณาและเผยแพร่</t>
  </si>
  <si>
    <t>2.15 ประเภทค่าวัสดุอุปกรณ์กีฬา</t>
  </si>
  <si>
    <t>2.16 ประเภทค่าวัสดุคอมพิวเตอร์</t>
  </si>
  <si>
    <r>
      <t xml:space="preserve">2.17 ประเภทค่าอาหารเสริม </t>
    </r>
    <r>
      <rPr>
        <sz val="9"/>
        <color rgb="FFFF0000"/>
        <rFont val="Tahoma"/>
      </rPr>
      <t>(นม)</t>
    </r>
  </si>
  <si>
    <t>2.18 ค่าสาธารณูปโภค</t>
  </si>
  <si>
    <t>1.) ประเภทค่าไฟฟ้าศูนย์พัฒนาเด็กเล็ก</t>
  </si>
  <si>
    <t>2.) ประเภทค่าบริการด้านโทรคมนาคม</t>
  </si>
  <si>
    <t>3.) ประเภทค่าโทรศัพท์</t>
  </si>
  <si>
    <t>1.)</t>
  </si>
  <si>
    <t>ครุภัณฑ์สำนักงาน ตู้เหล็กแบบ 2 บาน</t>
  </si>
  <si>
    <t>2.)    ครุภัณฑ์คอมพิวเตอร์  เครื่องพิมพ์แบบฉีดหมึก</t>
  </si>
  <si>
    <t>3.)</t>
  </si>
  <si>
    <t xml:space="preserve">เครื่องคอมพิวเตอร์ </t>
  </si>
  <si>
    <t>4.)</t>
  </si>
  <si>
    <t>เครื่องคอมพิวเตอร์ ค่าจัดซื้อเครื่องสำรองไฟฟ้า</t>
  </si>
  <si>
    <t>5.)</t>
  </si>
  <si>
    <t>เครื่องรับโทรทัศน์สีจอแบนขนาดไม่น้อยกว่า 55 นิ้ว</t>
  </si>
  <si>
    <t>หมวดเงินอุดหนุน</t>
  </si>
  <si>
    <t xml:space="preserve"> อุดหนุนองค์กรปกครองส่วนท้องถิ่น</t>
  </si>
  <si>
    <t>2.)</t>
  </si>
  <si>
    <t>อุดหนุนส่วนราชการ</t>
  </si>
  <si>
    <t>5. หมวดรายจ่ายอื่น                                -</t>
  </si>
  <si>
    <t>กองเกษตร/Agricultural Division</t>
  </si>
  <si>
    <t>1.2 เงินประจำตำแหน่งพนักงานตำบล</t>
  </si>
  <si>
    <t>2.3 ประเภทรายจ่ายเพื่อให้ได้มาซึ่งบริการ</t>
  </si>
  <si>
    <t>2.4 ประเภทรายจ่ายเกี่ยวเนื่องกับการปฏิบัติราชการที่ไม่เข้าลักษณะรายจ่ายหมวดอื่นๆ</t>
  </si>
  <si>
    <t>2.) โครงการอบรมพัฒนาฝีมือแรงงาน</t>
  </si>
  <si>
    <t>3.) โครงการอบรมเกษตรทฤษฎีใหม่และปรัชญาเสรษฐกิจพอเพียง</t>
  </si>
  <si>
    <t>4.) โครงการส่งเสริมการปลูกป่าเฉลิมพระเกียรติ</t>
  </si>
  <si>
    <t>5.) โครงการปรับปรุงภูมิทัศน์ ห้วยหินลาด หมู่ที่ 8</t>
  </si>
  <si>
    <t>6.) ประเภทค่าบำรุง หรือซ่อมแซมทรัพย์สิน</t>
  </si>
  <si>
    <t>2.5 ประเภทวัสดุสำนักงาน</t>
  </si>
  <si>
    <t>2.6 ประเภทค่าวัสดุเกษตร</t>
  </si>
  <si>
    <t>หมวดค่รุภัณฑ์  ที่ดินและสิ่งก่อสร้าง</t>
  </si>
  <si>
    <t xml:space="preserve"> ครุภัณฑ์ การเกษตร เครื่องสับย่อยกิ่งไม้</t>
  </si>
  <si>
    <t>3. งบลงทุน                              -   ไม่มี</t>
  </si>
  <si>
    <t>4. หมวดเงินอุดหนุน                              -  ไม่มี</t>
  </si>
  <si>
    <t>5. หมวดรายจ่ายอื่น                                -  ไม่มี</t>
  </si>
  <si>
    <t>งบกลาง/Central budget</t>
  </si>
  <si>
    <t>1. ประเภทรายจ่ายตามข้อผูกพัน</t>
  </si>
  <si>
    <t xml:space="preserve">1.1 เงินสมทบกองทุนประกันสังคม </t>
  </si>
  <si>
    <t>เงินสมทบกองทุนเงินทดแทน</t>
  </si>
  <si>
    <t>1.3 เงินสมทบกองทุนบำเหน็จบำนาญ</t>
  </si>
  <si>
    <t xml:space="preserve">                           </t>
  </si>
  <si>
    <t>1.4 เงินสมทบระบบหลักประกันสุขภาพระดับท้องถิ่น</t>
  </si>
  <si>
    <t>1.5 เงินช่วยเหลือศพข้าราชการส่วนท้องถิ่น</t>
  </si>
  <si>
    <t>2. ประเภทเงินสำรองจ่าย</t>
  </si>
  <si>
    <t>เงินสำรองจ่าย</t>
  </si>
  <si>
    <t>3. ประเภทงานถ่ายโอนภารกิจงานสวัสดิการและสังคม</t>
  </si>
  <si>
    <t>3.1 ประเภทเบี้ยยังชีพผู้สูงอายุ</t>
  </si>
  <si>
    <t>3.2 ประเภทเบี้ยยังชีพผู้พิการ</t>
  </si>
  <si>
    <t>3.3 ประเภทเบี้ยยังชีพผู้ป่วยเอดส์</t>
  </si>
  <si>
    <t>เงินรับฝาก/Deposit</t>
  </si>
  <si>
    <t>ภาษีหัก ณ ที่จ่าย</t>
  </si>
  <si>
    <t>เงินประกันสัญญา</t>
  </si>
  <si>
    <t>ค่าใช้จ่าย 5%</t>
  </si>
  <si>
    <t>ส่วนลด 6%</t>
  </si>
  <si>
    <t>โครงการเศรษฐกิจชุมชน</t>
  </si>
  <si>
    <t>เงินประกันสังคม</t>
  </si>
  <si>
    <t>ค่ารักษาพยาบาล (สปสช)</t>
  </si>
  <si>
    <t>ค่าปรับผิดสัญญารอจ่ายคืนกรม</t>
  </si>
  <si>
    <t>ค่าปรับค่วบคุมงาน</t>
  </si>
  <si>
    <t>ค่าธรรมเนียมถอนการยึดอายัติทรัพย์สินฯ</t>
  </si>
  <si>
    <t>ดอกเบี้ยเงินฝากโครงการเศรษฐกิจชุมชน</t>
  </si>
  <si>
    <t>เงินอุดหนุนเฉพราะกิจ</t>
  </si>
  <si>
    <t>รายจ่ายรอจ่าย (โบนัส)</t>
  </si>
  <si>
    <t>เงินสะสม</t>
  </si>
  <si>
    <t xml:space="preserve">         </t>
  </si>
  <si>
    <t>ยอดรวมต้องให้ได้</t>
  </si>
  <si>
    <t>งบประมาณ</t>
  </si>
  <si>
    <t>ยอดหายจากระบบ</t>
  </si>
  <si>
    <t xml:space="preserve">           งบที่ใช้ไป</t>
  </si>
  <si>
    <t>E114,E145,E193,E246,E326,E358,E373</t>
  </si>
  <si>
    <t>รวมเงินนอกงบประมาณ</t>
  </si>
  <si>
    <t>เวลารวมเงินในเล่มเขียวไม่ต้องรวมเงินประกันสังคมที่หักพร้อมเงินเดือน</t>
  </si>
  <si>
    <t>*ยอดถึงจะตรงกัน*</t>
  </si>
  <si>
    <r>
      <t xml:space="preserve">งบประมาณทั้งหมด  </t>
    </r>
    <r>
      <rPr>
        <b/>
        <sz val="11"/>
        <color rgb="FFFF0000"/>
        <rFont val="Tahoma"/>
      </rPr>
      <t>40,702,563.00</t>
    </r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</si>
</sst>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.00_);_(@_)"/>
    <numFmt numFmtId="188" formatCode="_(* #,##0_);_(* \(#,##0\);_(* &quot;-&quot;??_);_(@_)"/>
  </numFmts>
  <fonts count="38">
    <font>
      <sz val="11"/>
      <color rgb="FF000000"/>
      <name val="Tahoma"/>
    </font>
    <font>
      <b/>
      <sz val="18"/>
      <color rgb="FF000000"/>
      <name val="Sarabun"/>
    </font>
    <font>
      <sz val="11"/>
      <name val="Tahoma"/>
    </font>
    <font>
      <sz val="11"/>
      <color rgb="FF000000"/>
      <name val="Sarabun"/>
    </font>
    <font>
      <sz val="16"/>
      <color rgb="FF000000"/>
      <name val="Sarabun"/>
    </font>
    <font>
      <sz val="16"/>
      <color rgb="FF000000"/>
      <name val="Tahoma"/>
    </font>
    <font>
      <b/>
      <sz val="14"/>
      <color rgb="FF000000"/>
      <name val="Sarabun"/>
    </font>
    <font>
      <sz val="12"/>
      <color rgb="FF000000"/>
      <name val="Sarabun"/>
    </font>
    <font>
      <b/>
      <sz val="12"/>
      <color rgb="FF000000"/>
      <name val="Sarabun"/>
    </font>
    <font>
      <b/>
      <sz val="12"/>
      <name val="Sarabun"/>
    </font>
    <font>
      <b/>
      <sz val="12"/>
      <color rgb="FFFF0000"/>
      <name val="Sarabun"/>
    </font>
    <font>
      <sz val="12"/>
      <color rgb="FF000000"/>
      <name val="Tahoma"/>
    </font>
    <font>
      <b/>
      <sz val="10"/>
      <color rgb="FF000000"/>
      <name val="Sarabun"/>
    </font>
    <font>
      <b/>
      <sz val="9"/>
      <color rgb="FF000000"/>
      <name val="Sarabun"/>
    </font>
    <font>
      <sz val="9"/>
      <color rgb="FF000000"/>
      <name val="Sarabun"/>
    </font>
    <font>
      <sz val="9"/>
      <name val="Sarabun"/>
    </font>
    <font>
      <sz val="9"/>
      <color rgb="FFFF0000"/>
      <name val="Sarabun"/>
    </font>
    <font>
      <b/>
      <sz val="9"/>
      <color rgb="FF000000"/>
      <name val="Tahoma"/>
    </font>
    <font>
      <sz val="9"/>
      <color rgb="FF1155CC"/>
      <name val="Sarabun"/>
    </font>
    <font>
      <b/>
      <sz val="11"/>
      <name val="Tahoma"/>
    </font>
    <font>
      <sz val="11"/>
      <name val="Sarabun"/>
    </font>
    <font>
      <b/>
      <sz val="9"/>
      <color rgb="FF1155CC"/>
      <name val="Sarabun"/>
    </font>
    <font>
      <sz val="8"/>
      <color rgb="FF000000"/>
      <name val="Sarabun"/>
    </font>
    <font>
      <b/>
      <sz val="14"/>
      <color rgb="FF000000"/>
      <name val="Tahoma"/>
    </font>
    <font>
      <sz val="10"/>
      <color rgb="FF000000"/>
      <name val="Sarabun"/>
    </font>
    <font>
      <sz val="9"/>
      <color rgb="FF00B0F0"/>
      <name val="Sarabun"/>
    </font>
    <font>
      <sz val="8"/>
      <color rgb="FF000000"/>
      <name val="Tahoma"/>
    </font>
    <font>
      <sz val="9"/>
      <color rgb="FFFF0000"/>
      <name val="Tahoma"/>
    </font>
    <font>
      <sz val="9"/>
      <color rgb="FF434343"/>
      <name val="Sarabun"/>
    </font>
    <font>
      <sz val="9"/>
      <color rgb="FF000000"/>
      <name val="Tahoma"/>
    </font>
    <font>
      <sz val="10"/>
      <color rgb="FF000000"/>
      <name val="Tahoma"/>
    </font>
    <font>
      <b/>
      <u/>
      <sz val="10"/>
      <color rgb="FF000000"/>
      <name val="Sarabun"/>
    </font>
    <font>
      <u/>
      <sz val="10"/>
      <color rgb="FF000000"/>
      <name val="Sarabun"/>
    </font>
    <font>
      <b/>
      <sz val="10"/>
      <color rgb="FF000000"/>
      <name val="Tahoma"/>
    </font>
    <font>
      <b/>
      <sz val="18"/>
      <color rgb="FF000000"/>
      <name val="Angsana New"/>
    </font>
    <font>
      <b/>
      <sz val="11"/>
      <color rgb="FFFF0000"/>
      <name val="Tahoma"/>
    </font>
    <font>
      <b/>
      <sz val="10"/>
      <color rgb="FFFF0000"/>
      <name val="Tahoma"/>
    </font>
    <font>
      <sz val="11"/>
      <color rgb="FF65B045"/>
      <name val="Arial"/>
    </font>
  </fonts>
  <fills count="9">
    <fill>
      <patternFill patternType="none"/>
    </fill>
    <fill>
      <patternFill patternType="gray125"/>
    </fill>
    <fill>
      <patternFill patternType="solid">
        <fgColor rgb="FFFFD965"/>
        <bgColor rgb="FFFFD965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4B083"/>
        <bgColor rgb="FFF4B083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</fills>
  <borders count="64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58">
    <xf numFmtId="0" fontId="0" fillId="0" borderId="0" xfId="0"/>
    <xf numFmtId="187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187" fontId="3" fillId="3" borderId="0" xfId="0" applyNumberFormat="1" applyFont="1" applyFill="1" applyBorder="1"/>
    <xf numFmtId="187" fontId="0" fillId="3" borderId="0" xfId="0" applyNumberFormat="1" applyFont="1" applyFill="1" applyBorder="1"/>
    <xf numFmtId="0" fontId="0" fillId="0" borderId="0" xfId="0" applyFont="1" applyAlignment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187" fontId="4" fillId="3" borderId="0" xfId="0" applyNumberFormat="1" applyFont="1" applyFill="1" applyBorder="1"/>
    <xf numFmtId="187" fontId="5" fillId="3" borderId="0" xfId="0" applyNumberFormat="1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187" fontId="6" fillId="3" borderId="9" xfId="0" applyNumberFormat="1" applyFont="1" applyFill="1" applyBorder="1" applyAlignment="1">
      <alignment horizontal="center" vertical="center"/>
    </xf>
    <xf numFmtId="0" fontId="2" fillId="0" borderId="9" xfId="0" applyFont="1" applyBorder="1"/>
    <xf numFmtId="187" fontId="7" fillId="4" borderId="10" xfId="0" applyNumberFormat="1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187" fontId="8" fillId="2" borderId="13" xfId="0" applyNumberFormat="1" applyFont="1" applyFill="1" applyBorder="1" applyAlignment="1">
      <alignment horizontal="center"/>
    </xf>
    <xf numFmtId="187" fontId="8" fillId="4" borderId="13" xfId="0" applyNumberFormat="1" applyFont="1" applyFill="1" applyBorder="1" applyAlignment="1">
      <alignment horizontal="center" wrapText="1"/>
    </xf>
    <xf numFmtId="187" fontId="9" fillId="4" borderId="13" xfId="0" applyNumberFormat="1" applyFont="1" applyFill="1" applyBorder="1" applyAlignment="1">
      <alignment horizontal="center" wrapText="1"/>
    </xf>
    <xf numFmtId="187" fontId="10" fillId="4" borderId="13" xfId="0" applyNumberFormat="1" applyFont="1" applyFill="1" applyBorder="1" applyAlignment="1">
      <alignment horizontal="center" wrapText="1"/>
    </xf>
    <xf numFmtId="187" fontId="8" fillId="3" borderId="13" xfId="0" applyNumberFormat="1" applyFont="1" applyFill="1" applyBorder="1" applyAlignment="1">
      <alignment wrapText="1"/>
    </xf>
    <xf numFmtId="187" fontId="8" fillId="5" borderId="13" xfId="0" applyNumberFormat="1" applyFont="1" applyFill="1" applyBorder="1" applyAlignment="1">
      <alignment horizontal="center" wrapText="1"/>
    </xf>
    <xf numFmtId="187" fontId="7" fillId="3" borderId="0" xfId="0" applyNumberFormat="1" applyFont="1" applyFill="1" applyBorder="1"/>
    <xf numFmtId="187" fontId="11" fillId="3" borderId="0" xfId="0" applyNumberFormat="1" applyFont="1" applyFill="1" applyBorder="1"/>
    <xf numFmtId="187" fontId="12" fillId="3" borderId="10" xfId="0" applyNumberFormat="1" applyFont="1" applyFill="1" applyBorder="1"/>
    <xf numFmtId="187" fontId="13" fillId="3" borderId="11" xfId="0" applyNumberFormat="1" applyFont="1" applyFill="1" applyBorder="1"/>
    <xf numFmtId="187" fontId="13" fillId="2" borderId="11" xfId="0" applyNumberFormat="1" applyFont="1" applyFill="1" applyBorder="1" applyAlignment="1">
      <alignment horizontal="center"/>
    </xf>
    <xf numFmtId="187" fontId="13" fillId="3" borderId="11" xfId="0" applyNumberFormat="1" applyFont="1" applyFill="1" applyBorder="1" applyAlignment="1">
      <alignment horizontal="center"/>
    </xf>
    <xf numFmtId="187" fontId="13" fillId="3" borderId="12" xfId="0" applyNumberFormat="1" applyFont="1" applyFill="1" applyBorder="1"/>
    <xf numFmtId="187" fontId="14" fillId="3" borderId="14" xfId="0" applyNumberFormat="1" applyFont="1" applyFill="1" applyBorder="1"/>
    <xf numFmtId="187" fontId="13" fillId="3" borderId="15" xfId="0" applyNumberFormat="1" applyFont="1" applyFill="1" applyBorder="1"/>
    <xf numFmtId="187" fontId="14" fillId="3" borderId="16" xfId="0" applyNumberFormat="1" applyFont="1" applyFill="1" applyBorder="1"/>
    <xf numFmtId="187" fontId="14" fillId="2" borderId="15" xfId="0" applyNumberFormat="1" applyFont="1" applyFill="1" applyBorder="1" applyAlignment="1">
      <alignment horizontal="center"/>
    </xf>
    <xf numFmtId="187" fontId="14" fillId="3" borderId="15" xfId="0" applyNumberFormat="1" applyFont="1" applyFill="1" applyBorder="1"/>
    <xf numFmtId="187" fontId="14" fillId="3" borderId="15" xfId="0" applyNumberFormat="1" applyFont="1" applyFill="1" applyBorder="1" applyAlignment="1">
      <alignment horizontal="center"/>
    </xf>
    <xf numFmtId="187" fontId="14" fillId="5" borderId="15" xfId="0" applyNumberFormat="1" applyFont="1" applyFill="1" applyBorder="1"/>
    <xf numFmtId="187" fontId="14" fillId="3" borderId="17" xfId="0" applyNumberFormat="1" applyFont="1" applyFill="1" applyBorder="1"/>
    <xf numFmtId="187" fontId="14" fillId="3" borderId="18" xfId="0" applyNumberFormat="1" applyFont="1" applyFill="1" applyBorder="1"/>
    <xf numFmtId="187" fontId="14" fillId="3" borderId="19" xfId="0" applyNumberFormat="1" applyFont="1" applyFill="1" applyBorder="1"/>
    <xf numFmtId="187" fontId="14" fillId="2" borderId="17" xfId="0" applyNumberFormat="1" applyFont="1" applyFill="1" applyBorder="1" applyAlignment="1">
      <alignment horizontal="center"/>
    </xf>
    <xf numFmtId="187" fontId="14" fillId="3" borderId="17" xfId="0" applyNumberFormat="1" applyFont="1" applyFill="1" applyBorder="1" applyAlignment="1"/>
    <xf numFmtId="187" fontId="15" fillId="3" borderId="17" xfId="0" applyNumberFormat="1" applyFont="1" applyFill="1" applyBorder="1" applyAlignment="1"/>
    <xf numFmtId="187" fontId="14" fillId="3" borderId="17" xfId="0" applyNumberFormat="1" applyFont="1" applyFill="1" applyBorder="1" applyAlignment="1">
      <alignment horizontal="center"/>
    </xf>
    <xf numFmtId="187" fontId="14" fillId="5" borderId="17" xfId="0" applyNumberFormat="1" applyFont="1" applyFill="1" applyBorder="1"/>
    <xf numFmtId="187" fontId="16" fillId="3" borderId="17" xfId="0" applyNumberFormat="1" applyFont="1" applyFill="1" applyBorder="1"/>
    <xf numFmtId="187" fontId="13" fillId="3" borderId="17" xfId="0" applyNumberFormat="1" applyFont="1" applyFill="1" applyBorder="1"/>
    <xf numFmtId="187" fontId="14" fillId="3" borderId="20" xfId="0" applyNumberFormat="1" applyFont="1" applyFill="1" applyBorder="1"/>
    <xf numFmtId="187" fontId="14" fillId="3" borderId="15" xfId="0" applyNumberFormat="1" applyFont="1" applyFill="1" applyBorder="1" applyAlignment="1"/>
    <xf numFmtId="187" fontId="12" fillId="3" borderId="10" xfId="0" applyNumberFormat="1" applyFont="1" applyFill="1" applyBorder="1" applyAlignment="1">
      <alignment horizontal="left"/>
    </xf>
    <xf numFmtId="187" fontId="12" fillId="3" borderId="11" xfId="0" applyNumberFormat="1" applyFont="1" applyFill="1" applyBorder="1" applyAlignment="1">
      <alignment horizontal="left"/>
    </xf>
    <xf numFmtId="187" fontId="12" fillId="2" borderId="11" xfId="0" applyNumberFormat="1" applyFont="1" applyFill="1" applyBorder="1" applyAlignment="1">
      <alignment horizontal="center"/>
    </xf>
    <xf numFmtId="187" fontId="12" fillId="3" borderId="11" xfId="0" applyNumberFormat="1" applyFont="1" applyFill="1" applyBorder="1" applyAlignment="1">
      <alignment horizontal="left"/>
    </xf>
    <xf numFmtId="187" fontId="13" fillId="3" borderId="16" xfId="0" applyNumberFormat="1" applyFont="1" applyFill="1" applyBorder="1"/>
    <xf numFmtId="187" fontId="13" fillId="3" borderId="19" xfId="0" applyNumberFormat="1" applyFont="1" applyFill="1" applyBorder="1"/>
    <xf numFmtId="187" fontId="14" fillId="3" borderId="21" xfId="0" applyNumberFormat="1" applyFont="1" applyFill="1" applyBorder="1"/>
    <xf numFmtId="187" fontId="14" fillId="3" borderId="21" xfId="0" applyNumberFormat="1" applyFont="1" applyFill="1" applyBorder="1" applyAlignment="1"/>
    <xf numFmtId="187" fontId="18" fillId="3" borderId="21" xfId="0" applyNumberFormat="1" applyFont="1" applyFill="1" applyBorder="1"/>
    <xf numFmtId="187" fontId="14" fillId="5" borderId="17" xfId="0" applyNumberFormat="1" applyFont="1" applyFill="1" applyBorder="1" applyAlignment="1"/>
    <xf numFmtId="187" fontId="13" fillId="3" borderId="18" xfId="0" applyNumberFormat="1" applyFont="1" applyFill="1" applyBorder="1"/>
    <xf numFmtId="187" fontId="14" fillId="3" borderId="0" xfId="0" applyNumberFormat="1" applyFont="1" applyFill="1"/>
    <xf numFmtId="187" fontId="14" fillId="3" borderId="18" xfId="0" applyNumberFormat="1" applyFont="1" applyFill="1" applyBorder="1" applyAlignment="1"/>
    <xf numFmtId="187" fontId="14" fillId="3" borderId="0" xfId="0" applyNumberFormat="1" applyFont="1" applyFill="1" applyBorder="1"/>
    <xf numFmtId="187" fontId="13" fillId="3" borderId="11" xfId="0" applyNumberFormat="1" applyFont="1" applyFill="1" applyBorder="1" applyAlignment="1"/>
    <xf numFmtId="187" fontId="13" fillId="3" borderId="14" xfId="0" applyNumberFormat="1" applyFont="1" applyFill="1" applyBorder="1"/>
    <xf numFmtId="187" fontId="14" fillId="3" borderId="22" xfId="0" applyNumberFormat="1" applyFont="1" applyFill="1" applyBorder="1"/>
    <xf numFmtId="187" fontId="14" fillId="2" borderId="22" xfId="0" applyNumberFormat="1" applyFont="1" applyFill="1" applyBorder="1" applyAlignment="1">
      <alignment horizontal="center"/>
    </xf>
    <xf numFmtId="187" fontId="14" fillId="3" borderId="22" xfId="0" applyNumberFormat="1" applyFont="1" applyFill="1" applyBorder="1" applyAlignment="1"/>
    <xf numFmtId="187" fontId="14" fillId="3" borderId="22" xfId="0" applyNumberFormat="1" applyFont="1" applyFill="1" applyBorder="1" applyAlignment="1">
      <alignment horizontal="center"/>
    </xf>
    <xf numFmtId="187" fontId="14" fillId="3" borderId="23" xfId="0" applyNumberFormat="1" applyFont="1" applyFill="1" applyBorder="1"/>
    <xf numFmtId="187" fontId="14" fillId="3" borderId="24" xfId="0" applyNumberFormat="1" applyFont="1" applyFill="1" applyBorder="1" applyAlignment="1"/>
    <xf numFmtId="187" fontId="14" fillId="3" borderId="14" xfId="0" applyNumberFormat="1" applyFont="1" applyFill="1" applyBorder="1" applyAlignment="1"/>
    <xf numFmtId="187" fontId="14" fillId="3" borderId="23" xfId="0" applyNumberFormat="1" applyFont="1" applyFill="1" applyBorder="1" applyAlignment="1">
      <alignment horizontal="left"/>
    </xf>
    <xf numFmtId="0" fontId="2" fillId="0" borderId="24" xfId="0" applyFont="1" applyBorder="1"/>
    <xf numFmtId="187" fontId="16" fillId="2" borderId="17" xfId="0" applyNumberFormat="1" applyFont="1" applyFill="1" applyBorder="1" applyAlignment="1">
      <alignment horizontal="center"/>
    </xf>
    <xf numFmtId="187" fontId="12" fillId="3" borderId="14" xfId="0" applyNumberFormat="1" applyFont="1" applyFill="1" applyBorder="1"/>
    <xf numFmtId="187" fontId="14" fillId="3" borderId="14" xfId="0" applyNumberFormat="1" applyFont="1" applyFill="1" applyBorder="1" applyAlignment="1">
      <alignment horizontal="left"/>
    </xf>
    <xf numFmtId="187" fontId="14" fillId="3" borderId="0" xfId="0" applyNumberFormat="1" applyFont="1" applyFill="1" applyAlignment="1">
      <alignment horizontal="left"/>
    </xf>
    <xf numFmtId="187" fontId="13" fillId="3" borderId="0" xfId="0" applyNumberFormat="1" applyFont="1" applyFill="1"/>
    <xf numFmtId="187" fontId="13" fillId="3" borderId="17" xfId="0" applyNumberFormat="1" applyFont="1" applyFill="1" applyBorder="1" applyAlignment="1"/>
    <xf numFmtId="187" fontId="13" fillId="3" borderId="17" xfId="0" applyNumberFormat="1" applyFont="1" applyFill="1" applyBorder="1" applyAlignment="1">
      <alignment horizontal="center"/>
    </xf>
    <xf numFmtId="187" fontId="14" fillId="3" borderId="14" xfId="0" applyNumberFormat="1" applyFont="1" applyFill="1" applyBorder="1" applyAlignment="1">
      <alignment horizontal="left"/>
    </xf>
    <xf numFmtId="187" fontId="13" fillId="3" borderId="14" xfId="0" applyNumberFormat="1" applyFont="1" applyFill="1" applyBorder="1" applyAlignment="1"/>
    <xf numFmtId="187" fontId="14" fillId="3" borderId="0" xfId="0" applyNumberFormat="1" applyFont="1" applyFill="1" applyAlignment="1"/>
    <xf numFmtId="0" fontId="20" fillId="0" borderId="0" xfId="0" applyFont="1"/>
    <xf numFmtId="187" fontId="13" fillId="3" borderId="15" xfId="0" applyNumberFormat="1" applyFont="1" applyFill="1" applyBorder="1" applyAlignment="1"/>
    <xf numFmtId="187" fontId="13" fillId="3" borderId="15" xfId="0" applyNumberFormat="1" applyFont="1" applyFill="1" applyBorder="1" applyAlignment="1">
      <alignment horizontal="center"/>
    </xf>
    <xf numFmtId="187" fontId="14" fillId="5" borderId="22" xfId="0" applyNumberFormat="1" applyFont="1" applyFill="1" applyBorder="1"/>
    <xf numFmtId="187" fontId="14" fillId="3" borderId="25" xfId="0" applyNumberFormat="1" applyFont="1" applyFill="1" applyBorder="1" applyAlignment="1"/>
    <xf numFmtId="187" fontId="13" fillId="3" borderId="21" xfId="0" applyNumberFormat="1" applyFont="1" applyFill="1" applyBorder="1"/>
    <xf numFmtId="187" fontId="13" fillId="2" borderId="17" xfId="0" applyNumberFormat="1" applyFont="1" applyFill="1" applyBorder="1" applyAlignment="1">
      <alignment horizontal="center"/>
    </xf>
    <xf numFmtId="187" fontId="13" fillId="3" borderId="23" xfId="0" applyNumberFormat="1" applyFont="1" applyFill="1" applyBorder="1"/>
    <xf numFmtId="187" fontId="13" fillId="3" borderId="24" xfId="0" applyNumberFormat="1" applyFont="1" applyFill="1" applyBorder="1"/>
    <xf numFmtId="187" fontId="13" fillId="3" borderId="22" xfId="0" applyNumberFormat="1" applyFont="1" applyFill="1" applyBorder="1"/>
    <xf numFmtId="187" fontId="13" fillId="3" borderId="22" xfId="0" applyNumberFormat="1" applyFont="1" applyFill="1" applyBorder="1" applyAlignment="1"/>
    <xf numFmtId="187" fontId="13" fillId="3" borderId="22" xfId="0" applyNumberFormat="1" applyFont="1" applyFill="1" applyBorder="1" applyAlignment="1">
      <alignment horizontal="center"/>
    </xf>
    <xf numFmtId="187" fontId="14" fillId="5" borderId="22" xfId="0" applyNumberFormat="1" applyFont="1" applyFill="1" applyBorder="1" applyAlignment="1"/>
    <xf numFmtId="187" fontId="21" fillId="3" borderId="21" xfId="0" applyNumberFormat="1" applyFont="1" applyFill="1" applyBorder="1" applyAlignment="1"/>
    <xf numFmtId="187" fontId="13" fillId="3" borderId="26" xfId="0" applyNumberFormat="1" applyFont="1" applyFill="1" applyBorder="1"/>
    <xf numFmtId="187" fontId="14" fillId="3" borderId="27" xfId="0" applyNumberFormat="1" applyFont="1" applyFill="1" applyBorder="1" applyAlignment="1"/>
    <xf numFmtId="187" fontId="13" fillId="3" borderId="27" xfId="0" applyNumberFormat="1" applyFont="1" applyFill="1" applyBorder="1"/>
    <xf numFmtId="187" fontId="14" fillId="2" borderId="28" xfId="0" applyNumberFormat="1" applyFont="1" applyFill="1" applyBorder="1" applyAlignment="1">
      <alignment horizontal="center"/>
    </xf>
    <xf numFmtId="187" fontId="13" fillId="3" borderId="28" xfId="0" applyNumberFormat="1" applyFont="1" applyFill="1" applyBorder="1"/>
    <xf numFmtId="187" fontId="13" fillId="3" borderId="28" xfId="0" applyNumberFormat="1" applyFont="1" applyFill="1" applyBorder="1" applyAlignment="1"/>
    <xf numFmtId="187" fontId="13" fillId="3" borderId="28" xfId="0" applyNumberFormat="1" applyFont="1" applyFill="1" applyBorder="1" applyAlignment="1">
      <alignment horizontal="center"/>
    </xf>
    <xf numFmtId="187" fontId="13" fillId="3" borderId="10" xfId="0" applyNumberFormat="1" applyFont="1" applyFill="1" applyBorder="1"/>
    <xf numFmtId="187" fontId="14" fillId="3" borderId="12" xfId="0" applyNumberFormat="1" applyFont="1" applyFill="1" applyBorder="1" applyAlignment="1"/>
    <xf numFmtId="187" fontId="13" fillId="3" borderId="9" xfId="0" applyNumberFormat="1" applyFont="1" applyFill="1" applyBorder="1"/>
    <xf numFmtId="187" fontId="14" fillId="2" borderId="9" xfId="0" applyNumberFormat="1" applyFont="1" applyFill="1" applyBorder="1" applyAlignment="1">
      <alignment horizontal="center"/>
    </xf>
    <xf numFmtId="187" fontId="13" fillId="3" borderId="13" xfId="0" applyNumberFormat="1" applyFont="1" applyFill="1" applyBorder="1"/>
    <xf numFmtId="187" fontId="13" fillId="3" borderId="13" xfId="0" applyNumberFormat="1" applyFont="1" applyFill="1" applyBorder="1" applyAlignment="1"/>
    <xf numFmtId="187" fontId="13" fillId="3" borderId="13" xfId="0" applyNumberFormat="1" applyFont="1" applyFill="1" applyBorder="1" applyAlignment="1">
      <alignment horizontal="center"/>
    </xf>
    <xf numFmtId="187" fontId="14" fillId="5" borderId="13" xfId="0" applyNumberFormat="1" applyFont="1" applyFill="1" applyBorder="1"/>
    <xf numFmtId="187" fontId="14" fillId="3" borderId="13" xfId="0" applyNumberFormat="1" applyFont="1" applyFill="1" applyBorder="1" applyAlignment="1"/>
    <xf numFmtId="187" fontId="14" fillId="2" borderId="13" xfId="0" applyNumberFormat="1" applyFont="1" applyFill="1" applyBorder="1" applyAlignment="1">
      <alignment horizontal="center"/>
    </xf>
    <xf numFmtId="187" fontId="13" fillId="3" borderId="10" xfId="0" applyNumberFormat="1" applyFont="1" applyFill="1" applyBorder="1" applyAlignment="1">
      <alignment horizontal="center"/>
    </xf>
    <xf numFmtId="187" fontId="13" fillId="2" borderId="9" xfId="0" applyNumberFormat="1" applyFont="1" applyFill="1" applyBorder="1" applyAlignment="1">
      <alignment horizontal="center"/>
    </xf>
    <xf numFmtId="187" fontId="13" fillId="3" borderId="9" xfId="0" applyNumberFormat="1" applyFont="1" applyFill="1" applyBorder="1" applyAlignment="1"/>
    <xf numFmtId="187" fontId="13" fillId="3" borderId="9" xfId="0" applyNumberFormat="1" applyFont="1" applyFill="1" applyBorder="1" applyAlignment="1">
      <alignment horizontal="center"/>
    </xf>
    <xf numFmtId="187" fontId="14" fillId="3" borderId="29" xfId="0" applyNumberFormat="1" applyFont="1" applyFill="1" applyBorder="1"/>
    <xf numFmtId="187" fontId="14" fillId="3" borderId="30" xfId="0" applyNumberFormat="1" applyFont="1" applyFill="1" applyBorder="1"/>
    <xf numFmtId="187" fontId="12" fillId="4" borderId="31" xfId="0" applyNumberFormat="1" applyFont="1" applyFill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/>
    <xf numFmtId="187" fontId="14" fillId="2" borderId="34" xfId="0" applyNumberFormat="1" applyFont="1" applyFill="1" applyBorder="1" applyAlignment="1">
      <alignment horizontal="center"/>
    </xf>
    <xf numFmtId="187" fontId="14" fillId="4" borderId="34" xfId="0" applyNumberFormat="1" applyFont="1" applyFill="1" applyBorder="1"/>
    <xf numFmtId="187" fontId="14" fillId="4" borderId="34" xfId="0" applyNumberFormat="1" applyFont="1" applyFill="1" applyBorder="1" applyAlignment="1"/>
    <xf numFmtId="187" fontId="14" fillId="5" borderId="34" xfId="0" applyNumberFormat="1" applyFont="1" applyFill="1" applyBorder="1"/>
    <xf numFmtId="187" fontId="3" fillId="3" borderId="13" xfId="0" applyNumberFormat="1" applyFont="1" applyFill="1" applyBorder="1"/>
    <xf numFmtId="187" fontId="22" fillId="3" borderId="0" xfId="0" applyNumberFormat="1" applyFont="1" applyFill="1" applyBorder="1"/>
    <xf numFmtId="187" fontId="22" fillId="3" borderId="0" xfId="0" applyNumberFormat="1" applyFont="1" applyFill="1" applyBorder="1" applyAlignment="1">
      <alignment horizontal="center"/>
    </xf>
    <xf numFmtId="187" fontId="22" fillId="3" borderId="0" xfId="0" applyNumberFormat="1" applyFont="1" applyFill="1" applyBorder="1" applyAlignment="1"/>
    <xf numFmtId="187" fontId="23" fillId="3" borderId="9" xfId="0" applyNumberFormat="1" applyFont="1" applyFill="1" applyBorder="1" applyAlignment="1">
      <alignment horizontal="center" vertical="center"/>
    </xf>
    <xf numFmtId="187" fontId="8" fillId="5" borderId="13" xfId="0" applyNumberFormat="1" applyFont="1" applyFill="1" applyBorder="1" applyAlignment="1">
      <alignment horizontal="right" wrapText="1"/>
    </xf>
    <xf numFmtId="187" fontId="12" fillId="3" borderId="10" xfId="0" applyNumberFormat="1" applyFont="1" applyFill="1" applyBorder="1" applyAlignment="1">
      <alignment horizontal="left"/>
    </xf>
    <xf numFmtId="187" fontId="14" fillId="3" borderId="35" xfId="0" applyNumberFormat="1" applyFont="1" applyFill="1" applyBorder="1"/>
    <xf numFmtId="187" fontId="14" fillId="3" borderId="35" xfId="0" applyNumberFormat="1" applyFont="1" applyFill="1" applyBorder="1" applyAlignment="1">
      <alignment horizontal="center"/>
    </xf>
    <xf numFmtId="187" fontId="14" fillId="5" borderId="35" xfId="0" applyNumberFormat="1" applyFont="1" applyFill="1" applyBorder="1"/>
    <xf numFmtId="187" fontId="14" fillId="3" borderId="36" xfId="0" applyNumberFormat="1" applyFont="1" applyFill="1" applyBorder="1"/>
    <xf numFmtId="187" fontId="14" fillId="3" borderId="37" xfId="0" applyNumberFormat="1" applyFont="1" applyFill="1" applyBorder="1"/>
    <xf numFmtId="187" fontId="14" fillId="2" borderId="36" xfId="0" applyNumberFormat="1" applyFont="1" applyFill="1" applyBorder="1" applyAlignment="1">
      <alignment horizontal="center"/>
    </xf>
    <xf numFmtId="187" fontId="14" fillId="3" borderId="36" xfId="0" applyNumberFormat="1" applyFont="1" applyFill="1" applyBorder="1" applyAlignment="1"/>
    <xf numFmtId="187" fontId="14" fillId="3" borderId="36" xfId="0" applyNumberFormat="1" applyFont="1" applyFill="1" applyBorder="1" applyAlignment="1">
      <alignment horizontal="center"/>
    </xf>
    <xf numFmtId="187" fontId="22" fillId="3" borderId="38" xfId="0" applyNumberFormat="1" applyFont="1" applyFill="1" applyBorder="1" applyAlignment="1">
      <alignment horizontal="center"/>
    </xf>
    <xf numFmtId="0" fontId="2" fillId="0" borderId="38" xfId="0" applyFont="1" applyBorder="1"/>
    <xf numFmtId="187" fontId="8" fillId="2" borderId="35" xfId="0" applyNumberFormat="1" applyFont="1" applyFill="1" applyBorder="1" applyAlignment="1">
      <alignment horizontal="center"/>
    </xf>
    <xf numFmtId="187" fontId="8" fillId="4" borderId="35" xfId="0" applyNumberFormat="1" applyFont="1" applyFill="1" applyBorder="1" applyAlignment="1">
      <alignment horizontal="center" wrapText="1"/>
    </xf>
    <xf numFmtId="187" fontId="9" fillId="4" borderId="35" xfId="0" applyNumberFormat="1" applyFont="1" applyFill="1" applyBorder="1" applyAlignment="1">
      <alignment horizontal="center" wrapText="1"/>
    </xf>
    <xf numFmtId="187" fontId="10" fillId="4" borderId="35" xfId="0" applyNumberFormat="1" applyFont="1" applyFill="1" applyBorder="1" applyAlignment="1">
      <alignment horizontal="center" wrapText="1"/>
    </xf>
    <xf numFmtId="187" fontId="8" fillId="4" borderId="35" xfId="0" applyNumberFormat="1" applyFont="1" applyFill="1" applyBorder="1" applyAlignment="1">
      <alignment wrapText="1"/>
    </xf>
    <xf numFmtId="187" fontId="8" fillId="5" borderId="35" xfId="0" applyNumberFormat="1" applyFont="1" applyFill="1" applyBorder="1" applyAlignment="1">
      <alignment horizontal="center" wrapText="1"/>
    </xf>
    <xf numFmtId="187" fontId="13" fillId="3" borderId="35" xfId="0" applyNumberFormat="1" applyFont="1" applyFill="1" applyBorder="1"/>
    <xf numFmtId="187" fontId="14" fillId="3" borderId="39" xfId="0" applyNumberFormat="1" applyFont="1" applyFill="1" applyBorder="1"/>
    <xf numFmtId="187" fontId="14" fillId="2" borderId="35" xfId="0" applyNumberFormat="1" applyFont="1" applyFill="1" applyBorder="1" applyAlignment="1">
      <alignment horizontal="center"/>
    </xf>
    <xf numFmtId="187" fontId="14" fillId="3" borderId="35" xfId="0" applyNumberFormat="1" applyFont="1" applyFill="1" applyBorder="1" applyAlignment="1"/>
    <xf numFmtId="187" fontId="14" fillId="3" borderId="24" xfId="0" applyNumberFormat="1" applyFont="1" applyFill="1" applyBorder="1"/>
    <xf numFmtId="187" fontId="14" fillId="3" borderId="25" xfId="0" applyNumberFormat="1" applyFont="1" applyFill="1" applyBorder="1"/>
    <xf numFmtId="187" fontId="14" fillId="3" borderId="40" xfId="0" applyNumberFormat="1" applyFont="1" applyFill="1" applyBorder="1"/>
    <xf numFmtId="187" fontId="12" fillId="3" borderId="14" xfId="0" applyNumberFormat="1" applyFont="1" applyFill="1" applyBorder="1" applyAlignment="1">
      <alignment horizontal="left"/>
    </xf>
    <xf numFmtId="187" fontId="12" fillId="3" borderId="37" xfId="0" applyNumberFormat="1" applyFont="1" applyFill="1" applyBorder="1" applyAlignment="1">
      <alignment horizontal="left"/>
    </xf>
    <xf numFmtId="187" fontId="14" fillId="3" borderId="9" xfId="0" applyNumberFormat="1" applyFont="1" applyFill="1" applyBorder="1" applyAlignment="1">
      <alignment horizontal="left"/>
    </xf>
    <xf numFmtId="187" fontId="12" fillId="3" borderId="20" xfId="0" applyNumberFormat="1" applyFont="1" applyFill="1" applyBorder="1" applyAlignment="1">
      <alignment horizontal="left"/>
    </xf>
    <xf numFmtId="187" fontId="12" fillId="3" borderId="22" xfId="0" applyNumberFormat="1" applyFont="1" applyFill="1" applyBorder="1" applyAlignment="1">
      <alignment horizontal="left"/>
    </xf>
    <xf numFmtId="187" fontId="12" fillId="3" borderId="9" xfId="0" applyNumberFormat="1" applyFont="1" applyFill="1" applyBorder="1" applyAlignment="1">
      <alignment horizontal="left"/>
    </xf>
    <xf numFmtId="187" fontId="12" fillId="3" borderId="13" xfId="0" applyNumberFormat="1" applyFont="1" applyFill="1" applyBorder="1" applyAlignment="1">
      <alignment horizontal="left"/>
    </xf>
    <xf numFmtId="187" fontId="14" fillId="2" borderId="10" xfId="0" applyNumberFormat="1" applyFont="1" applyFill="1" applyBorder="1" applyAlignment="1">
      <alignment horizontal="center"/>
    </xf>
    <xf numFmtId="187" fontId="14" fillId="3" borderId="13" xfId="0" applyNumberFormat="1" applyFont="1" applyFill="1" applyBorder="1" applyAlignment="1">
      <alignment horizontal="left"/>
    </xf>
    <xf numFmtId="187" fontId="24" fillId="3" borderId="22" xfId="0" applyNumberFormat="1" applyFont="1" applyFill="1" applyBorder="1" applyAlignment="1">
      <alignment horizontal="left"/>
    </xf>
    <xf numFmtId="187" fontId="12" fillId="3" borderId="0" xfId="0" applyNumberFormat="1" applyFont="1" applyFill="1" applyAlignment="1">
      <alignment horizontal="left"/>
    </xf>
    <xf numFmtId="187" fontId="12" fillId="2" borderId="10" xfId="0" applyNumberFormat="1" applyFont="1" applyFill="1" applyBorder="1" applyAlignment="1">
      <alignment horizontal="center"/>
    </xf>
    <xf numFmtId="187" fontId="12" fillId="3" borderId="12" xfId="0" applyNumberFormat="1" applyFont="1" applyFill="1" applyBorder="1" applyAlignment="1">
      <alignment horizontal="left"/>
    </xf>
    <xf numFmtId="187" fontId="14" fillId="3" borderId="41" xfId="0" applyNumberFormat="1" applyFont="1" applyFill="1" applyBorder="1" applyAlignment="1"/>
    <xf numFmtId="187" fontId="14" fillId="3" borderId="12" xfId="0" applyNumberFormat="1" applyFont="1" applyFill="1" applyBorder="1"/>
    <xf numFmtId="187" fontId="14" fillId="5" borderId="28" xfId="0" applyNumberFormat="1" applyFont="1" applyFill="1" applyBorder="1"/>
    <xf numFmtId="187" fontId="12" fillId="4" borderId="42" xfId="0" applyNumberFormat="1" applyFont="1" applyFill="1" applyBorder="1" applyAlignment="1">
      <alignment horizontal="center"/>
    </xf>
    <xf numFmtId="0" fontId="2" fillId="0" borderId="43" xfId="0" applyFont="1" applyBorder="1"/>
    <xf numFmtId="0" fontId="2" fillId="0" borderId="44" xfId="0" applyFont="1" applyBorder="1"/>
    <xf numFmtId="187" fontId="14" fillId="2" borderId="29" xfId="0" applyNumberFormat="1" applyFont="1" applyFill="1" applyBorder="1" applyAlignment="1">
      <alignment horizontal="center"/>
    </xf>
    <xf numFmtId="187" fontId="14" fillId="4" borderId="29" xfId="0" applyNumberFormat="1" applyFont="1" applyFill="1" applyBorder="1"/>
    <xf numFmtId="187" fontId="14" fillId="5" borderId="29" xfId="0" applyNumberFormat="1" applyFont="1" applyFill="1" applyBorder="1"/>
    <xf numFmtId="187" fontId="14" fillId="3" borderId="0" xfId="0" applyNumberFormat="1" applyFont="1" applyFill="1" applyBorder="1" applyAlignment="1">
      <alignment horizontal="center"/>
    </xf>
    <xf numFmtId="187" fontId="14" fillId="3" borderId="18" xfId="0" applyNumberFormat="1" applyFont="1" applyFill="1" applyBorder="1" applyAlignment="1">
      <alignment horizontal="left"/>
    </xf>
    <xf numFmtId="187" fontId="25" fillId="3" borderId="17" xfId="0" applyNumberFormat="1" applyFont="1" applyFill="1" applyBorder="1"/>
    <xf numFmtId="187" fontId="14" fillId="3" borderId="18" xfId="0" applyNumberFormat="1" applyFont="1" applyFill="1" applyBorder="1" applyAlignment="1">
      <alignment horizontal="left"/>
    </xf>
    <xf numFmtId="0" fontId="2" fillId="0" borderId="21" xfId="0" applyFont="1" applyBorder="1"/>
    <xf numFmtId="187" fontId="14" fillId="3" borderId="45" xfId="0" applyNumberFormat="1" applyFont="1" applyFill="1" applyBorder="1"/>
    <xf numFmtId="187" fontId="14" fillId="2" borderId="46" xfId="0" applyNumberFormat="1" applyFont="1" applyFill="1" applyBorder="1" applyAlignment="1">
      <alignment horizontal="center"/>
    </xf>
    <xf numFmtId="187" fontId="14" fillId="3" borderId="46" xfId="0" applyNumberFormat="1" applyFont="1" applyFill="1" applyBorder="1"/>
    <xf numFmtId="187" fontId="14" fillId="3" borderId="46" xfId="0" applyNumberFormat="1" applyFont="1" applyFill="1" applyBorder="1" applyAlignment="1"/>
    <xf numFmtId="187" fontId="14" fillId="3" borderId="46" xfId="0" applyNumberFormat="1" applyFont="1" applyFill="1" applyBorder="1" applyAlignment="1">
      <alignment horizontal="center"/>
    </xf>
    <xf numFmtId="187" fontId="14" fillId="3" borderId="47" xfId="0" applyNumberFormat="1" applyFont="1" applyFill="1" applyBorder="1"/>
    <xf numFmtId="187" fontId="26" fillId="3" borderId="0" xfId="0" applyNumberFormat="1" applyFont="1" applyFill="1" applyBorder="1"/>
    <xf numFmtId="187" fontId="14" fillId="3" borderId="23" xfId="0" applyNumberFormat="1" applyFont="1" applyFill="1" applyBorder="1" applyAlignment="1"/>
    <xf numFmtId="187" fontId="24" fillId="3" borderId="23" xfId="0" applyNumberFormat="1" applyFont="1" applyFill="1" applyBorder="1" applyAlignment="1">
      <alignment horizontal="left"/>
    </xf>
    <xf numFmtId="187" fontId="12" fillId="3" borderId="24" xfId="0" applyNumberFormat="1" applyFont="1" applyFill="1" applyBorder="1" applyAlignment="1">
      <alignment horizontal="left"/>
    </xf>
    <xf numFmtId="187" fontId="12" fillId="2" borderId="22" xfId="0" applyNumberFormat="1" applyFont="1" applyFill="1" applyBorder="1" applyAlignment="1">
      <alignment horizontal="center"/>
    </xf>
    <xf numFmtId="187" fontId="12" fillId="3" borderId="40" xfId="0" applyNumberFormat="1" applyFont="1" applyFill="1" applyBorder="1" applyAlignment="1">
      <alignment horizontal="left"/>
    </xf>
    <xf numFmtId="187" fontId="12" fillId="3" borderId="26" xfId="0" applyNumberFormat="1" applyFont="1" applyFill="1" applyBorder="1" applyAlignment="1">
      <alignment horizontal="left"/>
    </xf>
    <xf numFmtId="187" fontId="24" fillId="3" borderId="27" xfId="0" applyNumberFormat="1" applyFont="1" applyFill="1" applyBorder="1" applyAlignment="1">
      <alignment horizontal="left"/>
    </xf>
    <xf numFmtId="187" fontId="12" fillId="3" borderId="27" xfId="0" applyNumberFormat="1" applyFont="1" applyFill="1" applyBorder="1" applyAlignment="1">
      <alignment horizontal="left"/>
    </xf>
    <xf numFmtId="187" fontId="12" fillId="3" borderId="48" xfId="0" applyNumberFormat="1" applyFont="1" applyFill="1" applyBorder="1" applyAlignment="1">
      <alignment horizontal="left"/>
    </xf>
    <xf numFmtId="187" fontId="12" fillId="3" borderId="49" xfId="0" applyNumberFormat="1" applyFont="1" applyFill="1" applyBorder="1" applyAlignment="1">
      <alignment horizontal="left"/>
    </xf>
    <xf numFmtId="187" fontId="13" fillId="3" borderId="39" xfId="0" applyNumberFormat="1" applyFont="1" applyFill="1" applyBorder="1" applyAlignment="1">
      <alignment horizontal="left"/>
    </xf>
    <xf numFmtId="187" fontId="13" fillId="3" borderId="49" xfId="0" applyNumberFormat="1" applyFont="1" applyFill="1" applyBorder="1" applyAlignment="1">
      <alignment horizontal="left"/>
    </xf>
    <xf numFmtId="187" fontId="13" fillId="2" borderId="35" xfId="0" applyNumberFormat="1" applyFont="1" applyFill="1" applyBorder="1" applyAlignment="1">
      <alignment horizontal="center"/>
    </xf>
    <xf numFmtId="187" fontId="13" fillId="3" borderId="35" xfId="0" applyNumberFormat="1" applyFont="1" applyFill="1" applyBorder="1" applyAlignment="1">
      <alignment horizontal="left"/>
    </xf>
    <xf numFmtId="187" fontId="14" fillId="5" borderId="50" xfId="0" applyNumberFormat="1" applyFont="1" applyFill="1" applyBorder="1"/>
    <xf numFmtId="187" fontId="13" fillId="3" borderId="15" xfId="0" applyNumberFormat="1" applyFont="1" applyFill="1" applyBorder="1" applyAlignment="1">
      <alignment horizontal="left"/>
    </xf>
    <xf numFmtId="187" fontId="13" fillId="3" borderId="18" xfId="0" applyNumberFormat="1" applyFont="1" applyFill="1" applyBorder="1" applyAlignment="1">
      <alignment horizontal="left"/>
    </xf>
    <xf numFmtId="187" fontId="13" fillId="3" borderId="21" xfId="0" applyNumberFormat="1" applyFont="1" applyFill="1" applyBorder="1" applyAlignment="1">
      <alignment horizontal="left"/>
    </xf>
    <xf numFmtId="187" fontId="13" fillId="3" borderId="17" xfId="0" applyNumberFormat="1" applyFont="1" applyFill="1" applyBorder="1" applyAlignment="1">
      <alignment horizontal="left"/>
    </xf>
    <xf numFmtId="187" fontId="13" fillId="3" borderId="14" xfId="0" applyNumberFormat="1" applyFont="1" applyFill="1" applyBorder="1" applyAlignment="1">
      <alignment horizontal="left"/>
    </xf>
    <xf numFmtId="187" fontId="14" fillId="3" borderId="23" xfId="0" applyNumberFormat="1" applyFont="1" applyFill="1" applyBorder="1" applyAlignment="1">
      <alignment horizontal="left"/>
    </xf>
    <xf numFmtId="187" fontId="13" fillId="3" borderId="24" xfId="0" applyNumberFormat="1" applyFont="1" applyFill="1" applyBorder="1" applyAlignment="1">
      <alignment horizontal="left"/>
    </xf>
    <xf numFmtId="187" fontId="13" fillId="3" borderId="22" xfId="0" applyNumberFormat="1" applyFont="1" applyFill="1" applyBorder="1" applyAlignment="1">
      <alignment horizontal="left"/>
    </xf>
    <xf numFmtId="188" fontId="14" fillId="2" borderId="17" xfId="0" applyNumberFormat="1" applyFont="1" applyFill="1" applyBorder="1" applyAlignment="1">
      <alignment horizontal="center"/>
    </xf>
    <xf numFmtId="188" fontId="14" fillId="5" borderId="17" xfId="0" applyNumberFormat="1" applyFont="1" applyFill="1" applyBorder="1"/>
    <xf numFmtId="187" fontId="12" fillId="3" borderId="18" xfId="0" applyNumberFormat="1" applyFont="1" applyFill="1" applyBorder="1" applyAlignment="1">
      <alignment horizontal="left"/>
    </xf>
    <xf numFmtId="187" fontId="12" fillId="3" borderId="21" xfId="0" applyNumberFormat="1" applyFont="1" applyFill="1" applyBorder="1" applyAlignment="1">
      <alignment horizontal="left"/>
    </xf>
    <xf numFmtId="187" fontId="12" fillId="3" borderId="17" xfId="0" applyNumberFormat="1" applyFont="1" applyFill="1" applyBorder="1" applyAlignment="1">
      <alignment horizontal="left"/>
    </xf>
    <xf numFmtId="188" fontId="14" fillId="2" borderId="15" xfId="0" applyNumberFormat="1" applyFont="1" applyFill="1" applyBorder="1" applyAlignment="1">
      <alignment horizontal="center"/>
    </xf>
    <xf numFmtId="187" fontId="12" fillId="3" borderId="15" xfId="0" applyNumberFormat="1" applyFont="1" applyFill="1" applyBorder="1" applyAlignment="1">
      <alignment horizontal="left"/>
    </xf>
    <xf numFmtId="187" fontId="24" fillId="3" borderId="26" xfId="0" applyNumberFormat="1" applyFont="1" applyFill="1" applyBorder="1" applyAlignment="1">
      <alignment horizontal="left"/>
    </xf>
    <xf numFmtId="188" fontId="14" fillId="2" borderId="28" xfId="0" applyNumberFormat="1" applyFont="1" applyFill="1" applyBorder="1" applyAlignment="1">
      <alignment horizontal="center"/>
    </xf>
    <xf numFmtId="187" fontId="12" fillId="3" borderId="28" xfId="0" applyNumberFormat="1" applyFont="1" applyFill="1" applyBorder="1" applyAlignment="1">
      <alignment horizontal="left"/>
    </xf>
    <xf numFmtId="188" fontId="14" fillId="5" borderId="22" xfId="0" applyNumberFormat="1" applyFont="1" applyFill="1" applyBorder="1"/>
    <xf numFmtId="187" fontId="12" fillId="2" borderId="9" xfId="0" applyNumberFormat="1" applyFont="1" applyFill="1" applyBorder="1" applyAlignment="1">
      <alignment horizontal="center"/>
    </xf>
    <xf numFmtId="187" fontId="14" fillId="3" borderId="42" xfId="0" applyNumberFormat="1" applyFont="1" applyFill="1" applyBorder="1"/>
    <xf numFmtId="187" fontId="14" fillId="3" borderId="43" xfId="0" applyNumberFormat="1" applyFont="1" applyFill="1" applyBorder="1" applyAlignment="1"/>
    <xf numFmtId="187" fontId="12" fillId="3" borderId="43" xfId="0" applyNumberFormat="1" applyFont="1" applyFill="1" applyBorder="1" applyAlignment="1">
      <alignment horizontal="center"/>
    </xf>
    <xf numFmtId="187" fontId="12" fillId="3" borderId="30" xfId="0" applyNumberFormat="1" applyFont="1" applyFill="1" applyBorder="1" applyAlignment="1">
      <alignment horizontal="center"/>
    </xf>
    <xf numFmtId="187" fontId="14" fillId="5" borderId="46" xfId="0" applyNumberFormat="1" applyFont="1" applyFill="1" applyBorder="1"/>
    <xf numFmtId="187" fontId="3" fillId="3" borderId="0" xfId="0" applyNumberFormat="1" applyFont="1" applyFill="1"/>
    <xf numFmtId="187" fontId="14" fillId="3" borderId="31" xfId="0" applyNumberFormat="1" applyFont="1" applyFill="1" applyBorder="1"/>
    <xf numFmtId="187" fontId="14" fillId="3" borderId="32" xfId="0" applyNumberFormat="1" applyFont="1" applyFill="1" applyBorder="1"/>
    <xf numFmtId="187" fontId="12" fillId="4" borderId="43" xfId="0" applyNumberFormat="1" applyFont="1" applyFill="1" applyBorder="1" applyAlignment="1">
      <alignment horizontal="center"/>
    </xf>
    <xf numFmtId="187" fontId="8" fillId="5" borderId="35" xfId="0" applyNumberFormat="1" applyFont="1" applyFill="1" applyBorder="1" applyAlignment="1">
      <alignment horizontal="right" wrapText="1"/>
    </xf>
    <xf numFmtId="187" fontId="14" fillId="3" borderId="21" xfId="0" applyNumberFormat="1" applyFont="1" applyFill="1" applyBorder="1" applyAlignment="1">
      <alignment horizontal="left"/>
    </xf>
    <xf numFmtId="187" fontId="14" fillId="3" borderId="9" xfId="0" applyNumberFormat="1" applyFont="1" applyFill="1" applyBorder="1"/>
    <xf numFmtId="187" fontId="28" fillId="5" borderId="36" xfId="0" applyNumberFormat="1" applyFont="1" applyFill="1" applyBorder="1"/>
    <xf numFmtId="187" fontId="12" fillId="3" borderId="39" xfId="0" applyNumberFormat="1" applyFont="1" applyFill="1" applyBorder="1" applyAlignment="1">
      <alignment horizontal="left"/>
    </xf>
    <xf numFmtId="187" fontId="12" fillId="2" borderId="49" xfId="0" applyNumberFormat="1" applyFont="1" applyFill="1" applyBorder="1" applyAlignment="1">
      <alignment horizontal="center"/>
    </xf>
    <xf numFmtId="187" fontId="12" fillId="5" borderId="16" xfId="0" applyNumberFormat="1" applyFont="1" applyFill="1" applyBorder="1" applyAlignment="1">
      <alignment horizontal="left"/>
    </xf>
    <xf numFmtId="187" fontId="24" fillId="3" borderId="13" xfId="0" applyNumberFormat="1" applyFont="1" applyFill="1" applyBorder="1" applyAlignment="1">
      <alignment horizontal="left"/>
    </xf>
    <xf numFmtId="187" fontId="24" fillId="2" borderId="10" xfId="0" applyNumberFormat="1" applyFont="1" applyFill="1" applyBorder="1" applyAlignment="1">
      <alignment horizontal="center" vertical="center"/>
    </xf>
    <xf numFmtId="187" fontId="12" fillId="3" borderId="51" xfId="0" applyNumberFormat="1" applyFont="1" applyFill="1" applyBorder="1" applyAlignment="1">
      <alignment horizontal="left"/>
    </xf>
    <xf numFmtId="187" fontId="12" fillId="3" borderId="52" xfId="0" applyNumberFormat="1" applyFont="1" applyFill="1" applyBorder="1" applyAlignment="1">
      <alignment horizontal="left"/>
    </xf>
    <xf numFmtId="187" fontId="24" fillId="3" borderId="52" xfId="0" applyNumberFormat="1" applyFont="1" applyFill="1" applyBorder="1" applyAlignment="1">
      <alignment horizontal="left"/>
    </xf>
    <xf numFmtId="187" fontId="12" fillId="3" borderId="53" xfId="0" applyNumberFormat="1" applyFont="1" applyFill="1" applyBorder="1" applyAlignment="1">
      <alignment horizontal="left"/>
    </xf>
    <xf numFmtId="187" fontId="3" fillId="5" borderId="13" xfId="0" applyNumberFormat="1" applyFont="1" applyFill="1" applyBorder="1"/>
    <xf numFmtId="187" fontId="24" fillId="3" borderId="10" xfId="0" applyNumberFormat="1" applyFont="1" applyFill="1" applyBorder="1" applyAlignment="1">
      <alignment horizontal="left"/>
    </xf>
    <xf numFmtId="187" fontId="24" fillId="3" borderId="13" xfId="0" applyNumberFormat="1" applyFont="1" applyFill="1" applyBorder="1" applyAlignment="1">
      <alignment horizontal="right" vertical="center"/>
    </xf>
    <xf numFmtId="188" fontId="24" fillId="2" borderId="10" xfId="0" applyNumberFormat="1" applyFont="1" applyFill="1" applyBorder="1" applyAlignment="1">
      <alignment horizontal="center"/>
    </xf>
    <xf numFmtId="187" fontId="12" fillId="3" borderId="54" xfId="0" applyNumberFormat="1" applyFont="1" applyFill="1" applyBorder="1" applyAlignment="1">
      <alignment horizontal="left"/>
    </xf>
    <xf numFmtId="187" fontId="24" fillId="3" borderId="13" xfId="0" applyNumberFormat="1" applyFont="1" applyFill="1" applyBorder="1" applyAlignment="1">
      <alignment horizontal="right"/>
    </xf>
    <xf numFmtId="187" fontId="12" fillId="3" borderId="55" xfId="0" applyNumberFormat="1" applyFont="1" applyFill="1" applyBorder="1" applyAlignment="1">
      <alignment horizontal="left"/>
    </xf>
    <xf numFmtId="187" fontId="3" fillId="3" borderId="12" xfId="0" applyNumberFormat="1" applyFont="1" applyFill="1" applyBorder="1"/>
    <xf numFmtId="188" fontId="3" fillId="5" borderId="13" xfId="0" applyNumberFormat="1" applyFont="1" applyFill="1" applyBorder="1"/>
    <xf numFmtId="187" fontId="12" fillId="3" borderId="36" xfId="0" applyNumberFormat="1" applyFont="1" applyFill="1" applyBorder="1" applyAlignment="1">
      <alignment horizontal="left"/>
    </xf>
    <xf numFmtId="187" fontId="24" fillId="3" borderId="36" xfId="0" applyNumberFormat="1" applyFont="1" applyFill="1" applyBorder="1" applyAlignment="1">
      <alignment horizontal="left"/>
    </xf>
    <xf numFmtId="188" fontId="24" fillId="2" borderId="37" xfId="0" applyNumberFormat="1" applyFont="1" applyFill="1" applyBorder="1" applyAlignment="1">
      <alignment horizontal="center"/>
    </xf>
    <xf numFmtId="188" fontId="14" fillId="2" borderId="10" xfId="0" applyNumberFormat="1" applyFont="1" applyFill="1" applyBorder="1" applyAlignment="1">
      <alignment horizontal="center"/>
    </xf>
    <xf numFmtId="187" fontId="14" fillId="3" borderId="13" xfId="0" applyNumberFormat="1" applyFont="1" applyFill="1" applyBorder="1"/>
    <xf numFmtId="187" fontId="14" fillId="3" borderId="55" xfId="0" applyNumberFormat="1" applyFont="1" applyFill="1" applyBorder="1" applyAlignment="1">
      <alignment horizontal="center"/>
    </xf>
    <xf numFmtId="188" fontId="14" fillId="5" borderId="13" xfId="0" applyNumberFormat="1" applyFont="1" applyFill="1" applyBorder="1"/>
    <xf numFmtId="187" fontId="13" fillId="3" borderId="10" xfId="0" applyNumberFormat="1" applyFont="1" applyFill="1" applyBorder="1" applyAlignment="1"/>
    <xf numFmtId="187" fontId="14" fillId="3" borderId="54" xfId="0" applyNumberFormat="1" applyFont="1" applyFill="1" applyBorder="1"/>
    <xf numFmtId="187" fontId="14" fillId="2" borderId="39" xfId="0" applyNumberFormat="1" applyFont="1" applyFill="1" applyBorder="1" applyAlignment="1">
      <alignment horizontal="center"/>
    </xf>
    <xf numFmtId="187" fontId="14" fillId="3" borderId="56" xfId="0" applyNumberFormat="1" applyFont="1" applyFill="1" applyBorder="1"/>
    <xf numFmtId="187" fontId="14" fillId="3" borderId="57" xfId="0" applyNumberFormat="1" applyFont="1" applyFill="1" applyBorder="1"/>
    <xf numFmtId="187" fontId="14" fillId="3" borderId="58" xfId="0" applyNumberFormat="1" applyFont="1" applyFill="1" applyBorder="1" applyAlignment="1">
      <alignment horizontal="center"/>
    </xf>
    <xf numFmtId="187" fontId="12" fillId="3" borderId="59" xfId="0" applyNumberFormat="1" applyFont="1" applyFill="1" applyBorder="1" applyAlignment="1">
      <alignment horizontal="left"/>
    </xf>
    <xf numFmtId="0" fontId="2" fillId="0" borderId="60" xfId="0" applyFont="1" applyBorder="1"/>
    <xf numFmtId="0" fontId="2" fillId="0" borderId="61" xfId="0" applyFont="1" applyBorder="1"/>
    <xf numFmtId="187" fontId="13" fillId="3" borderId="0" xfId="0" applyNumberFormat="1" applyFont="1" applyFill="1" applyBorder="1"/>
    <xf numFmtId="187" fontId="14" fillId="3" borderId="62" xfId="0" applyNumberFormat="1" applyFont="1" applyFill="1" applyBorder="1"/>
    <xf numFmtId="187" fontId="14" fillId="3" borderId="62" xfId="0" applyNumberFormat="1" applyFont="1" applyFill="1" applyBorder="1" applyAlignment="1"/>
    <xf numFmtId="187" fontId="14" fillId="3" borderId="62" xfId="0" applyNumberFormat="1" applyFont="1" applyFill="1" applyBorder="1" applyAlignment="1">
      <alignment horizontal="center"/>
    </xf>
    <xf numFmtId="187" fontId="29" fillId="3" borderId="0" xfId="0" applyNumberFormat="1" applyFont="1" applyFill="1" applyBorder="1"/>
    <xf numFmtId="187" fontId="14" fillId="3" borderId="28" xfId="0" applyNumberFormat="1" applyFont="1" applyFill="1" applyBorder="1"/>
    <xf numFmtId="187" fontId="14" fillId="3" borderId="26" xfId="0" applyNumberFormat="1" applyFont="1" applyFill="1" applyBorder="1"/>
    <xf numFmtId="187" fontId="14" fillId="3" borderId="48" xfId="0" applyNumberFormat="1" applyFont="1" applyFill="1" applyBorder="1"/>
    <xf numFmtId="187" fontId="12" fillId="3" borderId="37" xfId="0" applyNumberFormat="1" applyFont="1" applyFill="1" applyBorder="1" applyAlignment="1">
      <alignment horizontal="left"/>
    </xf>
    <xf numFmtId="0" fontId="2" fillId="0" borderId="20" xfId="0" applyFont="1" applyBorder="1"/>
    <xf numFmtId="187" fontId="12" fillId="2" borderId="36" xfId="0" applyNumberFormat="1" applyFont="1" applyFill="1" applyBorder="1" applyAlignment="1">
      <alignment horizontal="center"/>
    </xf>
    <xf numFmtId="187" fontId="12" fillId="5" borderId="15" xfId="0" applyNumberFormat="1" applyFont="1" applyFill="1" applyBorder="1" applyAlignment="1">
      <alignment horizontal="left"/>
    </xf>
    <xf numFmtId="187" fontId="24" fillId="3" borderId="37" xfId="0" applyNumberFormat="1" applyFont="1" applyFill="1" applyBorder="1" applyAlignment="1">
      <alignment horizontal="left"/>
    </xf>
    <xf numFmtId="187" fontId="24" fillId="2" borderId="36" xfId="0" applyNumberFormat="1" applyFont="1" applyFill="1" applyBorder="1" applyAlignment="1">
      <alignment horizontal="center"/>
    </xf>
    <xf numFmtId="187" fontId="24" fillId="5" borderId="15" xfId="0" applyNumberFormat="1" applyFont="1" applyFill="1" applyBorder="1" applyAlignment="1">
      <alignment horizontal="left"/>
    </xf>
    <xf numFmtId="187" fontId="24" fillId="3" borderId="0" xfId="0" applyNumberFormat="1" applyFont="1" applyFill="1" applyBorder="1"/>
    <xf numFmtId="187" fontId="8" fillId="4" borderId="13" xfId="0" applyNumberFormat="1" applyFont="1" applyFill="1" applyBorder="1" applyAlignment="1">
      <alignment wrapText="1"/>
    </xf>
    <xf numFmtId="187" fontId="14" fillId="3" borderId="10" xfId="0" applyNumberFormat="1" applyFont="1" applyFill="1" applyBorder="1" applyAlignment="1">
      <alignment horizontal="left"/>
    </xf>
    <xf numFmtId="187" fontId="14" fillId="3" borderId="50" xfId="0" applyNumberFormat="1" applyFont="1" applyFill="1" applyBorder="1"/>
    <xf numFmtId="187" fontId="14" fillId="3" borderId="50" xfId="0" applyNumberFormat="1" applyFont="1" applyFill="1" applyBorder="1" applyAlignment="1"/>
    <xf numFmtId="187" fontId="14" fillId="3" borderId="50" xfId="0" applyNumberFormat="1" applyFont="1" applyFill="1" applyBorder="1" applyAlignment="1">
      <alignment horizontal="center"/>
    </xf>
    <xf numFmtId="187" fontId="14" fillId="3" borderId="15" xfId="0" applyNumberFormat="1" applyFont="1" applyFill="1" applyBorder="1" applyAlignment="1">
      <alignment horizontal="left"/>
    </xf>
    <xf numFmtId="0" fontId="3" fillId="0" borderId="0" xfId="0" applyFont="1"/>
    <xf numFmtId="187" fontId="14" fillId="3" borderId="10" xfId="0" applyNumberFormat="1" applyFont="1" applyFill="1" applyBorder="1" applyAlignment="1">
      <alignment horizontal="left"/>
    </xf>
    <xf numFmtId="187" fontId="14" fillId="3" borderId="12" xfId="0" applyNumberFormat="1" applyFont="1" applyFill="1" applyBorder="1" applyAlignment="1">
      <alignment horizontal="left"/>
    </xf>
    <xf numFmtId="187" fontId="14" fillId="3" borderId="13" xfId="0" applyNumberFormat="1" applyFont="1" applyFill="1" applyBorder="1" applyAlignment="1">
      <alignment horizontal="center"/>
    </xf>
    <xf numFmtId="187" fontId="30" fillId="3" borderId="0" xfId="0" applyNumberFormat="1" applyFont="1" applyFill="1" applyBorder="1"/>
    <xf numFmtId="187" fontId="14" fillId="3" borderId="11" xfId="0" applyNumberFormat="1" applyFont="1" applyFill="1" applyBorder="1" applyAlignment="1">
      <alignment horizontal="left"/>
    </xf>
    <xf numFmtId="187" fontId="14" fillId="3" borderId="11" xfId="0" applyNumberFormat="1" applyFont="1" applyFill="1" applyBorder="1" applyAlignment="1">
      <alignment horizontal="center"/>
    </xf>
    <xf numFmtId="187" fontId="14" fillId="3" borderId="11" xfId="0" applyNumberFormat="1" applyFont="1" applyFill="1" applyBorder="1"/>
    <xf numFmtId="187" fontId="14" fillId="5" borderId="11" xfId="0" applyNumberFormat="1" applyFont="1" applyFill="1" applyBorder="1"/>
    <xf numFmtId="187" fontId="12" fillId="3" borderId="31" xfId="0" applyNumberFormat="1" applyFont="1" applyFill="1" applyBorder="1" applyAlignment="1">
      <alignment horizontal="center"/>
    </xf>
    <xf numFmtId="187" fontId="14" fillId="3" borderId="34" xfId="0" applyNumberFormat="1" applyFont="1" applyFill="1" applyBorder="1"/>
    <xf numFmtId="187" fontId="3" fillId="3" borderId="38" xfId="0" applyNumberFormat="1" applyFont="1" applyFill="1" applyBorder="1"/>
    <xf numFmtId="187" fontId="3" fillId="3" borderId="38" xfId="0" applyNumberFormat="1" applyFont="1" applyFill="1" applyBorder="1" applyAlignment="1">
      <alignment horizontal="center"/>
    </xf>
    <xf numFmtId="187" fontId="6" fillId="3" borderId="0" xfId="0" applyNumberFormat="1" applyFont="1" applyFill="1" applyBorder="1" applyAlignment="1">
      <alignment horizontal="center"/>
    </xf>
    <xf numFmtId="0" fontId="2" fillId="0" borderId="0" xfId="0" applyFont="1" applyBorder="1"/>
    <xf numFmtId="187" fontId="13" fillId="3" borderId="0" xfId="0" applyNumberFormat="1" applyFont="1" applyFill="1" applyBorder="1" applyAlignment="1">
      <alignment horizontal="center"/>
    </xf>
    <xf numFmtId="187" fontId="14" fillId="3" borderId="35" xfId="0" applyNumberFormat="1" applyFont="1" applyFill="1" applyBorder="1" applyAlignment="1">
      <alignment horizontal="left"/>
    </xf>
    <xf numFmtId="187" fontId="13" fillId="3" borderId="35" xfId="0" applyNumberFormat="1" applyFont="1" applyFill="1" applyBorder="1" applyAlignment="1">
      <alignment horizontal="center"/>
    </xf>
    <xf numFmtId="187" fontId="14" fillId="3" borderId="17" xfId="0" applyNumberFormat="1" applyFont="1" applyFill="1" applyBorder="1" applyAlignment="1">
      <alignment horizontal="left"/>
    </xf>
    <xf numFmtId="187" fontId="15" fillId="5" borderId="17" xfId="0" applyNumberFormat="1" applyFont="1" applyFill="1" applyBorder="1"/>
    <xf numFmtId="187" fontId="24" fillId="3" borderId="29" xfId="0" applyNumberFormat="1" applyFont="1" applyFill="1" applyBorder="1" applyAlignment="1">
      <alignment horizontal="left"/>
    </xf>
    <xf numFmtId="187" fontId="13" fillId="3" borderId="29" xfId="0" applyNumberFormat="1" applyFont="1" applyFill="1" applyBorder="1" applyAlignment="1">
      <alignment horizontal="center"/>
    </xf>
    <xf numFmtId="187" fontId="14" fillId="3" borderId="43" xfId="0" applyNumberFormat="1" applyFont="1" applyFill="1" applyBorder="1"/>
    <xf numFmtId="187" fontId="14" fillId="2" borderId="63" xfId="0" applyNumberFormat="1" applyFont="1" applyFill="1" applyBorder="1" applyAlignment="1">
      <alignment horizontal="center"/>
    </xf>
    <xf numFmtId="187" fontId="14" fillId="3" borderId="63" xfId="0" applyNumberFormat="1" applyFont="1" applyFill="1" applyBorder="1"/>
    <xf numFmtId="187" fontId="12" fillId="3" borderId="34" xfId="0" applyNumberFormat="1" applyFont="1" applyFill="1" applyBorder="1" applyAlignment="1">
      <alignment horizontal="center"/>
    </xf>
    <xf numFmtId="187" fontId="13" fillId="3" borderId="34" xfId="0" applyNumberFormat="1" applyFont="1" applyFill="1" applyBorder="1" applyAlignment="1">
      <alignment horizontal="center"/>
    </xf>
    <xf numFmtId="187" fontId="14" fillId="2" borderId="0" xfId="0" applyNumberFormat="1" applyFont="1" applyFill="1" applyBorder="1" applyAlignment="1">
      <alignment horizontal="center"/>
    </xf>
    <xf numFmtId="187" fontId="14" fillId="5" borderId="0" xfId="0" applyNumberFormat="1" applyFont="1" applyFill="1" applyBorder="1"/>
    <xf numFmtId="187" fontId="14" fillId="3" borderId="0" xfId="0" applyNumberFormat="1" applyFont="1" applyFill="1" applyBorder="1" applyAlignment="1">
      <alignment horizontal="left"/>
    </xf>
    <xf numFmtId="187" fontId="14" fillId="3" borderId="39" xfId="0" applyNumberFormat="1" applyFont="1" applyFill="1" applyBorder="1" applyAlignment="1">
      <alignment horizontal="left"/>
    </xf>
    <xf numFmtId="187" fontId="14" fillId="3" borderId="49" xfId="0" applyNumberFormat="1" applyFont="1" applyFill="1" applyBorder="1" applyAlignment="1">
      <alignment horizontal="left"/>
    </xf>
    <xf numFmtId="187" fontId="14" fillId="6" borderId="13" xfId="0" applyNumberFormat="1" applyFont="1" applyFill="1" applyBorder="1"/>
    <xf numFmtId="187" fontId="12" fillId="3" borderId="0" xfId="0" applyNumberFormat="1" applyFont="1" applyFill="1" applyBorder="1"/>
    <xf numFmtId="187" fontId="31" fillId="2" borderId="13" xfId="0" applyNumberFormat="1" applyFont="1" applyFill="1" applyBorder="1" applyAlignment="1">
      <alignment horizontal="center"/>
    </xf>
    <xf numFmtId="187" fontId="24" fillId="3" borderId="0" xfId="0" applyNumberFormat="1" applyFont="1" applyFill="1" applyBorder="1" applyAlignment="1">
      <alignment horizontal="center"/>
    </xf>
    <xf numFmtId="187" fontId="24" fillId="3" borderId="0" xfId="0" applyNumberFormat="1" applyFont="1" applyFill="1" applyBorder="1" applyAlignment="1">
      <alignment horizontal="center"/>
    </xf>
    <xf numFmtId="187" fontId="32" fillId="3" borderId="0" xfId="0" applyNumberFormat="1" applyFont="1" applyFill="1" applyBorder="1"/>
    <xf numFmtId="187" fontId="33" fillId="3" borderId="0" xfId="0" applyNumberFormat="1" applyFont="1" applyFill="1" applyBorder="1"/>
    <xf numFmtId="187" fontId="30" fillId="3" borderId="0" xfId="0" applyNumberFormat="1" applyFont="1" applyFill="1" applyBorder="1" applyAlignment="1">
      <alignment horizontal="center"/>
    </xf>
    <xf numFmtId="187" fontId="30" fillId="3" borderId="0" xfId="0" applyNumberFormat="1" applyFont="1" applyFill="1" applyBorder="1" applyAlignment="1">
      <alignment horizontal="center"/>
    </xf>
    <xf numFmtId="187" fontId="30" fillId="3" borderId="0" xfId="0" applyNumberFormat="1" applyFont="1" applyFill="1" applyBorder="1" applyAlignment="1"/>
    <xf numFmtId="187" fontId="0" fillId="3" borderId="0" xfId="0" applyNumberFormat="1" applyFont="1" applyFill="1" applyBorder="1" applyAlignment="1">
      <alignment horizontal="center"/>
    </xf>
    <xf numFmtId="187" fontId="34" fillId="3" borderId="0" xfId="0" applyNumberFormat="1" applyFont="1" applyFill="1" applyBorder="1" applyAlignment="1">
      <alignment horizontal="center"/>
    </xf>
    <xf numFmtId="187" fontId="35" fillId="3" borderId="10" xfId="0" applyNumberFormat="1" applyFont="1" applyFill="1" applyBorder="1" applyAlignment="1"/>
    <xf numFmtId="187" fontId="30" fillId="3" borderId="60" xfId="0" applyNumberFormat="1" applyFont="1" applyFill="1" applyBorder="1" applyAlignment="1">
      <alignment horizontal="center"/>
    </xf>
    <xf numFmtId="187" fontId="30" fillId="7" borderId="13" xfId="0" applyNumberFormat="1" applyFont="1" applyFill="1" applyBorder="1" applyAlignment="1">
      <alignment horizontal="center"/>
    </xf>
    <xf numFmtId="187" fontId="12" fillId="3" borderId="0" xfId="0" applyNumberFormat="1" applyFont="1" applyFill="1" applyBorder="1" applyAlignment="1">
      <alignment horizontal="center"/>
    </xf>
    <xf numFmtId="187" fontId="36" fillId="3" borderId="10" xfId="0" applyNumberFormat="1" applyFont="1" applyFill="1" applyBorder="1"/>
    <xf numFmtId="187" fontId="30" fillId="3" borderId="37" xfId="0" applyNumberFormat="1" applyFont="1" applyFill="1" applyBorder="1" applyAlignment="1">
      <alignment horizontal="center"/>
    </xf>
    <xf numFmtId="187" fontId="30" fillId="7" borderId="36" xfId="0" applyNumberFormat="1" applyFont="1" applyFill="1" applyBorder="1" applyAlignment="1">
      <alignment horizontal="right"/>
    </xf>
    <xf numFmtId="187" fontId="30" fillId="3" borderId="10" xfId="0" applyNumberFormat="1" applyFont="1" applyFill="1" applyBorder="1" applyAlignment="1">
      <alignment horizontal="center"/>
    </xf>
    <xf numFmtId="187" fontId="30" fillId="7" borderId="13" xfId="0" applyNumberFormat="1" applyFont="1" applyFill="1" applyBorder="1" applyAlignment="1">
      <alignment horizontal="right"/>
    </xf>
    <xf numFmtId="187" fontId="29" fillId="3" borderId="0" xfId="0" applyNumberFormat="1" applyFont="1" applyFill="1" applyBorder="1" applyAlignment="1">
      <alignment horizontal="center"/>
    </xf>
    <xf numFmtId="187" fontId="37" fillId="3" borderId="0" xfId="0" applyNumberFormat="1" applyFont="1" applyFill="1" applyAlignment="1"/>
    <xf numFmtId="187" fontId="30" fillId="3" borderId="59" xfId="0" applyNumberFormat="1" applyFont="1" applyFill="1" applyBorder="1" applyAlignment="1">
      <alignment horizontal="center"/>
    </xf>
    <xf numFmtId="187" fontId="30" fillId="7" borderId="10" xfId="0" applyNumberFormat="1" applyFont="1" applyFill="1" applyBorder="1" applyAlignment="1">
      <alignment horizontal="center"/>
    </xf>
    <xf numFmtId="187" fontId="30" fillId="7" borderId="10" xfId="0" applyNumberFormat="1" applyFont="1" applyFill="1" applyBorder="1"/>
    <xf numFmtId="187" fontId="11" fillId="8" borderId="0" xfId="0" applyNumberFormat="1" applyFont="1" applyFill="1" applyBorder="1" applyAlignme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W438"/>
  <sheetViews>
    <sheetView tabSelected="1" workbookViewId="0">
      <selection activeCell="C13" sqref="C13"/>
    </sheetView>
  </sheetViews>
  <sheetFormatPr defaultColWidth="12.625" defaultRowHeight="15" customHeight="1"/>
  <cols>
    <col min="1" max="1" width="0.375" style="6" customWidth="1"/>
    <col min="2" max="2" width="3.25" style="6" customWidth="1"/>
    <col min="3" max="3" width="33.125" style="6" customWidth="1"/>
    <col min="4" max="4" width="0.375" style="6" customWidth="1"/>
    <col min="5" max="5" width="14.125" style="6" customWidth="1"/>
    <col min="6" max="6" width="11.5" style="6" customWidth="1"/>
    <col min="7" max="16" width="9.875" style="6" customWidth="1"/>
    <col min="17" max="17" width="12.375" style="6" customWidth="1"/>
    <col min="18" max="18" width="0.75" style="6" customWidth="1"/>
    <col min="19" max="19" width="12.5" style="6" customWidth="1"/>
    <col min="20" max="20" width="13.25" style="6" customWidth="1"/>
    <col min="21" max="21" width="14.625" style="6" customWidth="1"/>
    <col min="22" max="23" width="7.875" style="6" customWidth="1"/>
    <col min="24" max="16384" width="12.625" style="6"/>
  </cols>
  <sheetData>
    <row r="1" spans="1:23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4"/>
      <c r="V1" s="5"/>
      <c r="W1" s="5"/>
    </row>
    <row r="2" spans="1:23" ht="19.5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9"/>
      <c r="T2" s="10"/>
      <c r="U2" s="10"/>
      <c r="V2" s="11"/>
      <c r="W2" s="11"/>
    </row>
    <row r="3" spans="1:23" ht="21.7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4"/>
      <c r="T3" s="10"/>
      <c r="U3" s="10"/>
      <c r="V3" s="11"/>
      <c r="W3" s="11"/>
    </row>
    <row r="4" spans="1:23" ht="21" customHeight="1">
      <c r="A4" s="15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4"/>
      <c r="U4" s="4"/>
      <c r="V4" s="5"/>
      <c r="W4" s="5"/>
    </row>
    <row r="5" spans="1:23" ht="15.75" customHeight="1">
      <c r="A5" s="17"/>
      <c r="B5" s="18"/>
      <c r="C5" s="18"/>
      <c r="D5" s="19"/>
      <c r="E5" s="20" t="s">
        <v>2</v>
      </c>
      <c r="F5" s="21" t="s">
        <v>3</v>
      </c>
      <c r="G5" s="21" t="s">
        <v>4</v>
      </c>
      <c r="H5" s="21" t="s">
        <v>5</v>
      </c>
      <c r="I5" s="21" t="s">
        <v>6</v>
      </c>
      <c r="J5" s="21" t="s">
        <v>7</v>
      </c>
      <c r="K5" s="21" t="s">
        <v>8</v>
      </c>
      <c r="L5" s="22" t="s">
        <v>9</v>
      </c>
      <c r="M5" s="21" t="s">
        <v>10</v>
      </c>
      <c r="N5" s="21" t="s">
        <v>11</v>
      </c>
      <c r="O5" s="21" t="s">
        <v>12</v>
      </c>
      <c r="P5" s="23" t="s">
        <v>13</v>
      </c>
      <c r="Q5" s="23" t="s">
        <v>14</v>
      </c>
      <c r="R5" s="24"/>
      <c r="S5" s="25" t="s">
        <v>15</v>
      </c>
      <c r="T5" s="26"/>
      <c r="U5" s="26"/>
      <c r="V5" s="27"/>
      <c r="W5" s="27"/>
    </row>
    <row r="6" spans="1:23" ht="15.75" customHeight="1">
      <c r="A6" s="28" t="s">
        <v>16</v>
      </c>
      <c r="B6" s="29"/>
      <c r="C6" s="29"/>
      <c r="D6" s="29">
        <v>6452000</v>
      </c>
      <c r="E6" s="30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1"/>
      <c r="R6" s="29"/>
      <c r="S6" s="32"/>
      <c r="T6" s="4"/>
      <c r="U6" s="4"/>
      <c r="V6" s="5"/>
      <c r="W6" s="5"/>
    </row>
    <row r="7" spans="1:23" ht="15.75" customHeight="1">
      <c r="A7" s="33"/>
      <c r="B7" s="34" t="s">
        <v>17</v>
      </c>
      <c r="C7" s="33"/>
      <c r="D7" s="35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8"/>
      <c r="R7" s="37"/>
      <c r="S7" s="39"/>
      <c r="T7" s="4"/>
      <c r="U7" s="4"/>
      <c r="V7" s="5"/>
      <c r="W7" s="5"/>
    </row>
    <row r="8" spans="1:23" ht="15.75" customHeight="1">
      <c r="A8" s="33"/>
      <c r="B8" s="40" t="s">
        <v>18</v>
      </c>
      <c r="C8" s="41"/>
      <c r="D8" s="42"/>
      <c r="E8" s="43">
        <v>520000</v>
      </c>
      <c r="F8" s="44">
        <v>42840</v>
      </c>
      <c r="G8" s="44">
        <v>42840</v>
      </c>
      <c r="H8" s="44">
        <v>42840</v>
      </c>
      <c r="I8" s="44">
        <v>42840</v>
      </c>
      <c r="J8" s="44">
        <v>42840</v>
      </c>
      <c r="K8" s="44">
        <v>42840</v>
      </c>
      <c r="L8" s="45">
        <v>42840</v>
      </c>
      <c r="M8" s="44">
        <v>42840</v>
      </c>
      <c r="N8" s="44">
        <v>42840</v>
      </c>
      <c r="O8" s="44"/>
      <c r="P8" s="44"/>
      <c r="Q8" s="46"/>
      <c r="R8" s="40"/>
      <c r="S8" s="47">
        <f>520000-F8-G8-H8-I8-J8-K8-L8-M8-N8-O8-P8-Q8</f>
        <v>134440</v>
      </c>
      <c r="T8" s="4"/>
      <c r="U8" s="4">
        <f t="shared" ref="U8:U33" si="0">SUM(F8:Q8)</f>
        <v>385560</v>
      </c>
      <c r="V8" s="5"/>
      <c r="W8" s="5"/>
    </row>
    <row r="9" spans="1:23" ht="15.75" customHeight="1">
      <c r="A9" s="33"/>
      <c r="B9" s="40" t="s">
        <v>19</v>
      </c>
      <c r="C9" s="41"/>
      <c r="D9" s="42"/>
      <c r="E9" s="43">
        <v>45000</v>
      </c>
      <c r="F9" s="44">
        <v>3510</v>
      </c>
      <c r="G9" s="44">
        <v>3510</v>
      </c>
      <c r="H9" s="44">
        <v>3510</v>
      </c>
      <c r="I9" s="44">
        <v>3510</v>
      </c>
      <c r="J9" s="44">
        <v>3510</v>
      </c>
      <c r="K9" s="44">
        <v>3510</v>
      </c>
      <c r="L9" s="45">
        <v>3510</v>
      </c>
      <c r="M9" s="44">
        <v>3510</v>
      </c>
      <c r="N9" s="44">
        <v>3510</v>
      </c>
      <c r="O9" s="44"/>
      <c r="P9" s="44"/>
      <c r="Q9" s="46"/>
      <c r="R9" s="40"/>
      <c r="S9" s="47">
        <f t="shared" ref="S9:S10" si="1">45000-F9-G9-H9-I9-J9-K9-L9-M9-N9-O9-P9-Q9</f>
        <v>13410</v>
      </c>
      <c r="T9" s="4"/>
      <c r="U9" s="4">
        <f t="shared" si="0"/>
        <v>31590</v>
      </c>
      <c r="V9" s="5"/>
      <c r="W9" s="5"/>
    </row>
    <row r="10" spans="1:23" ht="15.75" customHeight="1">
      <c r="A10" s="33"/>
      <c r="B10" s="40" t="s">
        <v>20</v>
      </c>
      <c r="C10" s="41"/>
      <c r="D10" s="42"/>
      <c r="E10" s="43">
        <v>45000</v>
      </c>
      <c r="F10" s="44">
        <v>3510</v>
      </c>
      <c r="G10" s="44">
        <v>3510</v>
      </c>
      <c r="H10" s="44">
        <v>3510</v>
      </c>
      <c r="I10" s="44">
        <v>3510</v>
      </c>
      <c r="J10" s="44">
        <v>3510</v>
      </c>
      <c r="K10" s="44">
        <v>3510</v>
      </c>
      <c r="L10" s="45">
        <v>3510</v>
      </c>
      <c r="M10" s="44">
        <v>3510</v>
      </c>
      <c r="N10" s="44">
        <v>3510</v>
      </c>
      <c r="O10" s="44"/>
      <c r="P10" s="44"/>
      <c r="Q10" s="46"/>
      <c r="R10" s="40"/>
      <c r="S10" s="47">
        <f t="shared" si="1"/>
        <v>13410</v>
      </c>
      <c r="T10" s="4"/>
      <c r="U10" s="4">
        <f t="shared" si="0"/>
        <v>31590</v>
      </c>
      <c r="V10" s="5"/>
      <c r="W10" s="5"/>
    </row>
    <row r="11" spans="1:23" ht="15.75" customHeight="1">
      <c r="A11" s="33"/>
      <c r="B11" s="40" t="s">
        <v>21</v>
      </c>
      <c r="C11" s="41"/>
      <c r="D11" s="42"/>
      <c r="E11" s="43">
        <v>90000</v>
      </c>
      <c r="F11" s="44">
        <v>7200</v>
      </c>
      <c r="G11" s="44">
        <v>7200</v>
      </c>
      <c r="H11" s="44">
        <v>7200</v>
      </c>
      <c r="I11" s="44">
        <v>7200</v>
      </c>
      <c r="J11" s="44">
        <v>7200</v>
      </c>
      <c r="K11" s="44">
        <v>7200</v>
      </c>
      <c r="L11" s="45">
        <v>7200</v>
      </c>
      <c r="M11" s="44">
        <v>7200</v>
      </c>
      <c r="N11" s="44">
        <v>7200</v>
      </c>
      <c r="O11" s="44"/>
      <c r="P11" s="44"/>
      <c r="Q11" s="46"/>
      <c r="R11" s="40"/>
      <c r="S11" s="47">
        <f t="shared" ref="S11:S12" si="2">E11-F11-G11-H11-I11-J11-K11-L11-M11-N11-O11-P11-Q11</f>
        <v>25200</v>
      </c>
      <c r="T11" s="4" t="s">
        <v>22</v>
      </c>
      <c r="U11" s="4">
        <f t="shared" si="0"/>
        <v>64800</v>
      </c>
      <c r="V11" s="5"/>
      <c r="W11" s="5"/>
    </row>
    <row r="12" spans="1:23" ht="15.75" customHeight="1">
      <c r="A12" s="33"/>
      <c r="B12" s="40" t="s">
        <v>23</v>
      </c>
      <c r="C12" s="41"/>
      <c r="D12" s="42"/>
      <c r="E12" s="43">
        <v>1500000</v>
      </c>
      <c r="F12" s="44">
        <v>128400</v>
      </c>
      <c r="G12" s="44">
        <v>128400</v>
      </c>
      <c r="H12" s="44">
        <v>128400</v>
      </c>
      <c r="I12" s="44">
        <v>125800</v>
      </c>
      <c r="J12" s="44">
        <v>127740</v>
      </c>
      <c r="K12" s="44">
        <v>128400</v>
      </c>
      <c r="L12" s="45">
        <v>128400</v>
      </c>
      <c r="M12" s="44">
        <v>128400</v>
      </c>
      <c r="N12" s="44">
        <v>128400</v>
      </c>
      <c r="O12" s="44"/>
      <c r="P12" s="44"/>
      <c r="Q12" s="46"/>
      <c r="R12" s="40"/>
      <c r="S12" s="47">
        <f t="shared" si="2"/>
        <v>347660</v>
      </c>
      <c r="T12" s="4"/>
      <c r="U12" s="4">
        <f t="shared" si="0"/>
        <v>1152340</v>
      </c>
      <c r="V12" s="5"/>
      <c r="W12" s="5"/>
    </row>
    <row r="13" spans="1:23" ht="15.75" customHeight="1">
      <c r="A13" s="33"/>
      <c r="B13" s="40" t="s">
        <v>24</v>
      </c>
      <c r="C13" s="41"/>
      <c r="D13" s="42"/>
      <c r="E13" s="43">
        <v>100000</v>
      </c>
      <c r="F13" s="48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6"/>
      <c r="R13" s="40"/>
      <c r="S13" s="47">
        <f>100000-F13-G13-H13-I13-J13-K13-L13-M13-N13-O13-P13-Q13</f>
        <v>100000</v>
      </c>
      <c r="T13" s="4"/>
      <c r="U13" s="4">
        <f t="shared" si="0"/>
        <v>0</v>
      </c>
      <c r="V13" s="5"/>
      <c r="W13" s="5"/>
    </row>
    <row r="14" spans="1:23" ht="15.75" customHeight="1">
      <c r="A14" s="33"/>
      <c r="B14" s="49" t="s">
        <v>25</v>
      </c>
      <c r="C14" s="41"/>
      <c r="D14" s="42"/>
      <c r="E14" s="43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6"/>
      <c r="R14" s="40"/>
      <c r="S14" s="47"/>
      <c r="T14" s="4"/>
      <c r="U14" s="4">
        <f t="shared" si="0"/>
        <v>0</v>
      </c>
      <c r="V14" s="5"/>
      <c r="W14" s="5"/>
    </row>
    <row r="15" spans="1:23" ht="15.75" customHeight="1">
      <c r="A15" s="33"/>
      <c r="B15" s="40" t="s">
        <v>26</v>
      </c>
      <c r="C15" s="41"/>
      <c r="D15" s="42"/>
      <c r="E15" s="43">
        <v>1850000</v>
      </c>
      <c r="F15" s="44">
        <v>147070</v>
      </c>
      <c r="G15" s="44">
        <v>147070</v>
      </c>
      <c r="H15" s="44">
        <v>147070</v>
      </c>
      <c r="I15" s="44">
        <v>147070</v>
      </c>
      <c r="J15" s="44">
        <v>147070</v>
      </c>
      <c r="K15" s="44">
        <v>147070</v>
      </c>
      <c r="L15" s="44">
        <v>150200</v>
      </c>
      <c r="M15" s="44">
        <v>150200</v>
      </c>
      <c r="N15" s="44">
        <v>150200</v>
      </c>
      <c r="O15" s="44"/>
      <c r="P15" s="44"/>
      <c r="Q15" s="46"/>
      <c r="R15" s="40"/>
      <c r="S15" s="47">
        <f>1850000-F15-G15-H15-I15-J15-K15-L15-M15-N15-O15-P15-Q15</f>
        <v>516980</v>
      </c>
      <c r="T15" s="4"/>
      <c r="U15" s="4">
        <f t="shared" si="0"/>
        <v>1333020</v>
      </c>
      <c r="V15" s="5"/>
      <c r="W15" s="5"/>
    </row>
    <row r="16" spans="1:23" ht="15.75" customHeight="1">
      <c r="A16" s="33"/>
      <c r="B16" s="40" t="s">
        <v>27</v>
      </c>
      <c r="C16" s="41"/>
      <c r="D16" s="42"/>
      <c r="E16" s="43">
        <v>180000</v>
      </c>
      <c r="F16" s="44">
        <v>14000</v>
      </c>
      <c r="G16" s="44">
        <v>14000</v>
      </c>
      <c r="H16" s="44">
        <v>14000</v>
      </c>
      <c r="I16" s="44">
        <v>14000</v>
      </c>
      <c r="J16" s="44">
        <v>14000</v>
      </c>
      <c r="K16" s="44">
        <v>14000</v>
      </c>
      <c r="L16" s="44">
        <v>14000</v>
      </c>
      <c r="M16" s="44">
        <v>1400</v>
      </c>
      <c r="N16" s="44">
        <v>1400</v>
      </c>
      <c r="O16" s="44"/>
      <c r="P16" s="44"/>
      <c r="Q16" s="46"/>
      <c r="R16" s="40"/>
      <c r="S16" s="47">
        <f>E16-F16-G16-H16-I16-J16-K16-L16-M16-N16-O16-P16-Q16</f>
        <v>79200</v>
      </c>
      <c r="T16" s="4"/>
      <c r="U16" s="4">
        <f t="shared" si="0"/>
        <v>100800</v>
      </c>
      <c r="V16" s="5"/>
      <c r="W16" s="5"/>
    </row>
    <row r="17" spans="1:23" ht="15.75" customHeight="1">
      <c r="A17" s="33"/>
      <c r="B17" s="40" t="s">
        <v>28</v>
      </c>
      <c r="C17" s="41"/>
      <c r="D17" s="42"/>
      <c r="E17" s="43">
        <v>220000</v>
      </c>
      <c r="F17" s="44">
        <v>19100</v>
      </c>
      <c r="G17" s="44">
        <v>19100</v>
      </c>
      <c r="H17" s="44">
        <v>19100</v>
      </c>
      <c r="I17" s="44">
        <v>19100</v>
      </c>
      <c r="J17" s="44">
        <v>19100</v>
      </c>
      <c r="K17" s="44">
        <v>19100</v>
      </c>
      <c r="L17" s="44">
        <v>19410</v>
      </c>
      <c r="M17" s="44">
        <v>19410</v>
      </c>
      <c r="N17" s="44">
        <v>19410</v>
      </c>
      <c r="O17" s="44"/>
      <c r="P17" s="44"/>
      <c r="Q17" s="46"/>
      <c r="R17" s="40"/>
      <c r="S17" s="47">
        <f>220000-F17-G17-H17-I17-J17-K17-L17-M17-N17-O17-P17-Q17</f>
        <v>47170</v>
      </c>
      <c r="T17" s="4"/>
      <c r="U17" s="4">
        <f t="shared" si="0"/>
        <v>172830</v>
      </c>
      <c r="V17" s="5"/>
      <c r="W17" s="5"/>
    </row>
    <row r="18" spans="1:23" ht="15.75" customHeight="1">
      <c r="A18" s="33"/>
      <c r="B18" s="40" t="s">
        <v>29</v>
      </c>
      <c r="C18" s="41"/>
      <c r="D18" s="42"/>
      <c r="E18" s="43">
        <f>2000000+90000+40000</f>
        <v>2130000</v>
      </c>
      <c r="F18" s="44">
        <v>122170</v>
      </c>
      <c r="G18" s="44">
        <v>122170</v>
      </c>
      <c r="H18" s="44">
        <v>165061</v>
      </c>
      <c r="I18" s="44">
        <v>166670</v>
      </c>
      <c r="J18" s="44">
        <v>166670</v>
      </c>
      <c r="K18" s="44">
        <v>166670</v>
      </c>
      <c r="L18" s="44">
        <v>166670</v>
      </c>
      <c r="M18" s="44">
        <v>166670</v>
      </c>
      <c r="N18" s="44">
        <v>166670</v>
      </c>
      <c r="O18" s="44"/>
      <c r="P18" s="44"/>
      <c r="Q18" s="46"/>
      <c r="R18" s="40"/>
      <c r="S18" s="47">
        <f t="shared" ref="S18:S20" si="3">E18-F18-G18-H18-I18-J18-K18-L18-M18-N18-O18-P18-Q18</f>
        <v>720579</v>
      </c>
      <c r="T18" s="4"/>
      <c r="U18" s="4">
        <f t="shared" si="0"/>
        <v>1409421</v>
      </c>
      <c r="V18" s="5"/>
      <c r="W18" s="5"/>
    </row>
    <row r="19" spans="1:23" ht="15.75" customHeight="1">
      <c r="A19" s="33"/>
      <c r="B19" s="40" t="s">
        <v>30</v>
      </c>
      <c r="C19" s="41"/>
      <c r="D19" s="42"/>
      <c r="E19" s="43">
        <f>130000+10000</f>
        <v>140000</v>
      </c>
      <c r="F19" s="44">
        <v>6600</v>
      </c>
      <c r="G19" s="44">
        <v>6600</v>
      </c>
      <c r="H19" s="44">
        <v>10385</v>
      </c>
      <c r="I19" s="44">
        <v>10385</v>
      </c>
      <c r="J19" s="44">
        <v>10385</v>
      </c>
      <c r="K19" s="44">
        <v>10385</v>
      </c>
      <c r="L19" s="44">
        <v>10385</v>
      </c>
      <c r="M19" s="44">
        <v>10385</v>
      </c>
      <c r="N19" s="44">
        <v>10385</v>
      </c>
      <c r="O19" s="44"/>
      <c r="P19" s="44"/>
      <c r="Q19" s="46"/>
      <c r="R19" s="40"/>
      <c r="S19" s="47">
        <f t="shared" si="3"/>
        <v>54105</v>
      </c>
      <c r="T19" s="4"/>
      <c r="U19" s="4">
        <f t="shared" si="0"/>
        <v>85895</v>
      </c>
      <c r="V19" s="5"/>
      <c r="W19" s="5"/>
    </row>
    <row r="20" spans="1:23" ht="15.75" customHeight="1">
      <c r="A20" s="33"/>
      <c r="B20" s="37" t="s">
        <v>31</v>
      </c>
      <c r="C20" s="33"/>
      <c r="D20" s="50"/>
      <c r="E20" s="36">
        <v>100000</v>
      </c>
      <c r="F20" s="51">
        <v>7820</v>
      </c>
      <c r="G20" s="51">
        <v>7820</v>
      </c>
      <c r="H20" s="51">
        <v>7820</v>
      </c>
      <c r="I20" s="51">
        <v>7820</v>
      </c>
      <c r="J20" s="51">
        <v>7820</v>
      </c>
      <c r="K20" s="51">
        <v>7820</v>
      </c>
      <c r="L20" s="51">
        <v>7820</v>
      </c>
      <c r="M20" s="51">
        <v>7820</v>
      </c>
      <c r="N20" s="51">
        <v>7820</v>
      </c>
      <c r="O20" s="51"/>
      <c r="P20" s="51"/>
      <c r="Q20" s="38"/>
      <c r="R20" s="37"/>
      <c r="S20" s="47">
        <f t="shared" si="3"/>
        <v>29620</v>
      </c>
      <c r="T20" s="4"/>
      <c r="U20" s="4">
        <f t="shared" si="0"/>
        <v>70380</v>
      </c>
      <c r="V20" s="5"/>
      <c r="W20" s="5"/>
    </row>
    <row r="21" spans="1:23" ht="15.75" customHeight="1">
      <c r="A21" s="52" t="s">
        <v>32</v>
      </c>
      <c r="B21" s="53"/>
      <c r="C21" s="52"/>
      <c r="D21" s="53"/>
      <c r="E21" s="54"/>
      <c r="F21" s="55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9"/>
      <c r="T21" s="4"/>
      <c r="U21" s="4">
        <f t="shared" si="0"/>
        <v>0</v>
      </c>
      <c r="V21" s="5"/>
      <c r="W21" s="5"/>
    </row>
    <row r="22" spans="1:23" ht="15.75" customHeight="1">
      <c r="A22" s="33"/>
      <c r="B22" s="34" t="s">
        <v>33</v>
      </c>
      <c r="C22" s="33"/>
      <c r="D22" s="56">
        <v>630000</v>
      </c>
      <c r="E22" s="36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8"/>
      <c r="R22" s="37"/>
      <c r="S22" s="39"/>
      <c r="T22" s="4"/>
      <c r="U22" s="4">
        <f t="shared" si="0"/>
        <v>0</v>
      </c>
      <c r="V22" s="5"/>
      <c r="W22" s="5"/>
    </row>
    <row r="23" spans="1:23" ht="15.75" customHeight="1">
      <c r="A23" s="33"/>
      <c r="B23" s="40" t="s">
        <v>34</v>
      </c>
      <c r="C23" s="41"/>
      <c r="D23" s="42"/>
      <c r="E23" s="43">
        <v>30000</v>
      </c>
      <c r="F23" s="40"/>
      <c r="G23" s="40"/>
      <c r="H23" s="40"/>
      <c r="I23" s="40"/>
      <c r="J23" s="40"/>
      <c r="K23" s="40">
        <f>14900</f>
        <v>14900</v>
      </c>
      <c r="L23" s="44"/>
      <c r="M23" s="40"/>
      <c r="N23" s="40"/>
      <c r="O23" s="40"/>
      <c r="P23" s="40"/>
      <c r="Q23" s="46"/>
      <c r="R23" s="40"/>
      <c r="S23" s="47">
        <f>30000-F23-G23-H23-I23-J23-K23-L23-M23-N23-O23-P23-Q23</f>
        <v>15100</v>
      </c>
      <c r="T23" s="4"/>
      <c r="U23" s="4">
        <f t="shared" si="0"/>
        <v>14900</v>
      </c>
      <c r="V23" s="5"/>
      <c r="W23" s="5"/>
    </row>
    <row r="24" spans="1:23" ht="15.75" customHeight="1">
      <c r="A24" s="33"/>
      <c r="B24" s="40" t="s">
        <v>35</v>
      </c>
      <c r="C24" s="41"/>
      <c r="D24" s="42"/>
      <c r="E24" s="43">
        <f>10000+15000</f>
        <v>25000</v>
      </c>
      <c r="F24" s="40"/>
      <c r="G24" s="40"/>
      <c r="H24" s="40"/>
      <c r="I24" s="40"/>
      <c r="J24" s="40"/>
      <c r="K24" s="40"/>
      <c r="L24" s="44">
        <f>2800+3780</f>
        <v>6580</v>
      </c>
      <c r="M24" s="40">
        <f>2520+2880</f>
        <v>5400</v>
      </c>
      <c r="N24" s="40"/>
      <c r="O24" s="40"/>
      <c r="P24" s="40"/>
      <c r="Q24" s="46"/>
      <c r="R24" s="40"/>
      <c r="S24" s="47">
        <f t="shared" ref="S24:S26" si="4">E24-F24-G24-H24-I24-J24-K24-L24-M24-N24-O24-P24-Q24</f>
        <v>13020</v>
      </c>
      <c r="T24" s="4"/>
      <c r="U24" s="4">
        <f t="shared" si="0"/>
        <v>11980</v>
      </c>
      <c r="V24" s="5"/>
      <c r="W24" s="5"/>
    </row>
    <row r="25" spans="1:23" ht="15.75" customHeight="1">
      <c r="A25" s="33"/>
      <c r="B25" s="40" t="s">
        <v>36</v>
      </c>
      <c r="C25" s="41"/>
      <c r="D25" s="42"/>
      <c r="E25" s="43">
        <v>250000</v>
      </c>
      <c r="F25" s="40"/>
      <c r="G25" s="40">
        <f>15000</f>
        <v>15000</v>
      </c>
      <c r="H25" s="40">
        <f>15000+6000</f>
        <v>21000</v>
      </c>
      <c r="I25" s="44">
        <f>6000+12000+4000</f>
        <v>22000</v>
      </c>
      <c r="J25" s="44">
        <f t="shared" ref="J25:K25" si="5">16000+6000</f>
        <v>22000</v>
      </c>
      <c r="K25" s="40">
        <f t="shared" si="5"/>
        <v>22000</v>
      </c>
      <c r="L25" s="40">
        <f>3000+4000+4000+5000+6000+16000+6000</f>
        <v>44000</v>
      </c>
      <c r="M25" s="40"/>
      <c r="N25" s="40">
        <f>16000+6000</f>
        <v>22000</v>
      </c>
      <c r="O25" s="44">
        <f>16000</f>
        <v>16000</v>
      </c>
      <c r="P25" s="44"/>
      <c r="Q25" s="46"/>
      <c r="R25" s="40"/>
      <c r="S25" s="47">
        <f t="shared" si="4"/>
        <v>66000</v>
      </c>
      <c r="T25" s="4"/>
      <c r="U25" s="4">
        <f t="shared" si="0"/>
        <v>184000</v>
      </c>
      <c r="V25" s="5"/>
      <c r="W25" s="5"/>
    </row>
    <row r="26" spans="1:23" ht="15.75" customHeight="1">
      <c r="A26" s="33"/>
      <c r="B26" s="40" t="s">
        <v>37</v>
      </c>
      <c r="C26" s="41"/>
      <c r="D26" s="42"/>
      <c r="E26" s="43">
        <v>60000</v>
      </c>
      <c r="F26" s="40">
        <f>7000</f>
        <v>7000</v>
      </c>
      <c r="G26" s="40">
        <f>1000</f>
        <v>1000</v>
      </c>
      <c r="H26" s="40"/>
      <c r="I26" s="44">
        <v>9000</v>
      </c>
      <c r="J26" s="40"/>
      <c r="K26" s="44">
        <f>1600+2000</f>
        <v>3600</v>
      </c>
      <c r="L26" s="40"/>
      <c r="M26" s="44">
        <v>4800</v>
      </c>
      <c r="N26" s="44">
        <v>9000</v>
      </c>
      <c r="O26" s="44"/>
      <c r="P26" s="40"/>
      <c r="Q26" s="46"/>
      <c r="R26" s="40"/>
      <c r="S26" s="47">
        <f t="shared" si="4"/>
        <v>25600</v>
      </c>
      <c r="T26" s="4"/>
      <c r="U26" s="4">
        <f t="shared" si="0"/>
        <v>34400</v>
      </c>
      <c r="V26" s="5"/>
      <c r="W26" s="5"/>
    </row>
    <row r="27" spans="1:23" ht="15.75" customHeight="1">
      <c r="A27" s="33"/>
      <c r="B27" s="49" t="s">
        <v>38</v>
      </c>
      <c r="C27" s="41"/>
      <c r="D27" s="57">
        <v>1387000</v>
      </c>
      <c r="E27" s="43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6"/>
      <c r="R27" s="40"/>
      <c r="S27" s="47"/>
      <c r="T27" s="4"/>
      <c r="U27" s="4">
        <f t="shared" si="0"/>
        <v>0</v>
      </c>
      <c r="V27" s="5"/>
      <c r="W27" s="5"/>
    </row>
    <row r="28" spans="1:23" ht="15.75" customHeight="1">
      <c r="A28" s="33"/>
      <c r="B28" s="40" t="s">
        <v>39</v>
      </c>
      <c r="C28" s="41"/>
      <c r="D28" s="57"/>
      <c r="E28" s="43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6"/>
      <c r="R28" s="40"/>
      <c r="S28" s="47"/>
      <c r="T28" s="4"/>
      <c r="U28" s="4">
        <f t="shared" si="0"/>
        <v>0</v>
      </c>
      <c r="V28" s="5"/>
      <c r="W28" s="5"/>
    </row>
    <row r="29" spans="1:23" ht="15.75" customHeight="1">
      <c r="A29" s="33"/>
      <c r="B29" s="41"/>
      <c r="C29" s="58" t="s">
        <v>40</v>
      </c>
      <c r="D29" s="42"/>
      <c r="E29" s="43">
        <v>90000</v>
      </c>
      <c r="F29" s="40"/>
      <c r="G29" s="40"/>
      <c r="H29" s="40"/>
      <c r="I29" s="44"/>
      <c r="J29" s="44">
        <v>5000</v>
      </c>
      <c r="K29" s="40"/>
      <c r="L29" s="40">
        <f>1640.24</f>
        <v>1640.24</v>
      </c>
      <c r="M29" s="40"/>
      <c r="N29" s="40"/>
      <c r="O29" s="40"/>
      <c r="P29" s="40"/>
      <c r="Q29" s="46"/>
      <c r="R29" s="40"/>
      <c r="S29" s="47">
        <f>90000-F29-G29-H29-I29-J29-K29-L29-M29-N29-O29-P29-Q29</f>
        <v>83359.759999999995</v>
      </c>
      <c r="T29" s="4"/>
      <c r="U29" s="4">
        <f t="shared" si="0"/>
        <v>6640.24</v>
      </c>
      <c r="V29" s="5"/>
      <c r="W29" s="5"/>
    </row>
    <row r="30" spans="1:23" ht="15.75" customHeight="1">
      <c r="A30" s="33"/>
      <c r="B30" s="41"/>
      <c r="C30" s="58" t="s">
        <v>41</v>
      </c>
      <c r="D30" s="42"/>
      <c r="E30" s="43">
        <v>108000</v>
      </c>
      <c r="F30" s="58"/>
      <c r="G30" s="40">
        <f t="shared" ref="G30:G33" si="6">9000</f>
        <v>9000</v>
      </c>
      <c r="H30" s="40">
        <f t="shared" ref="H30:H31" si="7">9000+9000</f>
        <v>18000</v>
      </c>
      <c r="I30" s="40"/>
      <c r="J30" s="40">
        <f t="shared" ref="J30:K30" si="8">9000</f>
        <v>9000</v>
      </c>
      <c r="K30" s="40">
        <f t="shared" si="8"/>
        <v>9000</v>
      </c>
      <c r="L30" s="44">
        <f t="shared" ref="L30:L31" si="9">9000+9000</f>
        <v>18000</v>
      </c>
      <c r="M30" s="40"/>
      <c r="N30" s="40">
        <f t="shared" ref="N30:N31" si="10">9000</f>
        <v>9000</v>
      </c>
      <c r="O30" s="44">
        <v>9000</v>
      </c>
      <c r="P30" s="44"/>
      <c r="Q30" s="46"/>
      <c r="R30" s="40"/>
      <c r="S30" s="47">
        <f t="shared" ref="S30:S34" si="11">E30-F30-G30-H30-I30-J30-K30-L30-M30-N30-O30-P30-Q30</f>
        <v>27000</v>
      </c>
      <c r="T30" s="4"/>
      <c r="U30" s="4">
        <f t="shared" si="0"/>
        <v>81000</v>
      </c>
      <c r="V30" s="5"/>
      <c r="W30" s="5"/>
    </row>
    <row r="31" spans="1:23" ht="15.75" customHeight="1">
      <c r="A31" s="33"/>
      <c r="B31" s="41"/>
      <c r="C31" s="58" t="s">
        <v>42</v>
      </c>
      <c r="D31" s="42"/>
      <c r="E31" s="43">
        <v>108000</v>
      </c>
      <c r="F31" s="40"/>
      <c r="G31" s="40">
        <f t="shared" si="6"/>
        <v>9000</v>
      </c>
      <c r="H31" s="40">
        <f t="shared" si="7"/>
        <v>18000</v>
      </c>
      <c r="I31" s="44"/>
      <c r="J31" s="44">
        <v>9000</v>
      </c>
      <c r="K31" s="40">
        <f>9000</f>
        <v>9000</v>
      </c>
      <c r="L31" s="44">
        <f t="shared" si="9"/>
        <v>18000</v>
      </c>
      <c r="M31" s="40"/>
      <c r="N31" s="40">
        <f t="shared" si="10"/>
        <v>9000</v>
      </c>
      <c r="O31" s="44">
        <v>9000</v>
      </c>
      <c r="P31" s="44"/>
      <c r="Q31" s="46"/>
      <c r="R31" s="40"/>
      <c r="S31" s="47">
        <f t="shared" si="11"/>
        <v>27000</v>
      </c>
      <c r="T31" s="4"/>
      <c r="U31" s="4">
        <f t="shared" si="0"/>
        <v>81000</v>
      </c>
      <c r="V31" s="5"/>
      <c r="W31" s="5"/>
    </row>
    <row r="32" spans="1:23" ht="15.75" customHeight="1">
      <c r="A32" s="33"/>
      <c r="B32" s="41"/>
      <c r="C32" s="58" t="s">
        <v>43</v>
      </c>
      <c r="D32" s="42"/>
      <c r="E32" s="43">
        <f>108000+100000+8000-30000-40000</f>
        <v>146000</v>
      </c>
      <c r="F32" s="40"/>
      <c r="G32" s="40">
        <f t="shared" si="6"/>
        <v>9000</v>
      </c>
      <c r="H32" s="40">
        <f>3900+9000+9000+9000</f>
        <v>30900</v>
      </c>
      <c r="I32" s="40"/>
      <c r="J32" s="40">
        <f>9000</f>
        <v>9000</v>
      </c>
      <c r="K32" s="40">
        <f>9000+9000</f>
        <v>18000</v>
      </c>
      <c r="L32" s="40">
        <f>9000+9000+9000+9000</f>
        <v>36000</v>
      </c>
      <c r="M32" s="40"/>
      <c r="N32" s="40">
        <f t="shared" ref="N32:O32" si="12">9000+9000</f>
        <v>18000</v>
      </c>
      <c r="O32" s="44">
        <f t="shared" si="12"/>
        <v>18000</v>
      </c>
      <c r="P32" s="44"/>
      <c r="Q32" s="46"/>
      <c r="R32" s="40"/>
      <c r="S32" s="47">
        <f t="shared" si="11"/>
        <v>7100</v>
      </c>
      <c r="T32" s="4"/>
      <c r="U32" s="4">
        <f t="shared" si="0"/>
        <v>138900</v>
      </c>
      <c r="V32" s="5"/>
      <c r="W32" s="5"/>
    </row>
    <row r="33" spans="1:23" ht="15.75" customHeight="1">
      <c r="A33" s="33"/>
      <c r="B33" s="41"/>
      <c r="C33" s="58" t="s">
        <v>44</v>
      </c>
      <c r="D33" s="42"/>
      <c r="E33" s="43">
        <v>108000</v>
      </c>
      <c r="F33" s="40"/>
      <c r="G33" s="40">
        <f t="shared" si="6"/>
        <v>9000</v>
      </c>
      <c r="H33" s="40">
        <f>9000</f>
        <v>9000</v>
      </c>
      <c r="I33" s="40"/>
      <c r="J33" s="40"/>
      <c r="K33" s="40"/>
      <c r="L33" s="40"/>
      <c r="M33" s="40"/>
      <c r="N33" s="40"/>
      <c r="O33" s="44"/>
      <c r="P33" s="44"/>
      <c r="Q33" s="46"/>
      <c r="R33" s="40"/>
      <c r="S33" s="47">
        <f t="shared" si="11"/>
        <v>90000</v>
      </c>
      <c r="T33" s="4"/>
      <c r="U33" s="4">
        <f t="shared" si="0"/>
        <v>18000</v>
      </c>
      <c r="V33" s="5"/>
      <c r="W33" s="5"/>
    </row>
    <row r="34" spans="1:23" ht="15.75" customHeight="1">
      <c r="A34" s="33"/>
      <c r="B34" s="41"/>
      <c r="C34" s="59" t="s">
        <v>45</v>
      </c>
      <c r="D34" s="42"/>
      <c r="E34" s="43">
        <v>63000</v>
      </c>
      <c r="F34" s="40"/>
      <c r="G34" s="40"/>
      <c r="H34" s="40"/>
      <c r="I34" s="40"/>
      <c r="J34" s="40"/>
      <c r="K34" s="40"/>
      <c r="L34" s="44">
        <f>9000+9000</f>
        <v>18000</v>
      </c>
      <c r="M34" s="40"/>
      <c r="N34" s="44">
        <v>9000</v>
      </c>
      <c r="O34" s="44">
        <v>9000</v>
      </c>
      <c r="P34" s="44"/>
      <c r="Q34" s="46"/>
      <c r="R34" s="40"/>
      <c r="S34" s="47">
        <f t="shared" si="11"/>
        <v>27000</v>
      </c>
      <c r="T34" s="4"/>
      <c r="U34" s="4"/>
      <c r="V34" s="5"/>
      <c r="W34" s="5"/>
    </row>
    <row r="35" spans="1:23" ht="15.75" customHeight="1">
      <c r="A35" s="33"/>
      <c r="B35" s="41" t="s">
        <v>46</v>
      </c>
      <c r="C35" s="58"/>
      <c r="D35" s="57"/>
      <c r="E35" s="43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6"/>
      <c r="R35" s="40"/>
      <c r="S35" s="47"/>
      <c r="T35" s="4"/>
      <c r="U35" s="4">
        <f t="shared" ref="U35:U95" si="13">SUM(F35:Q35)</f>
        <v>0</v>
      </c>
      <c r="V35" s="5"/>
      <c r="W35" s="5"/>
    </row>
    <row r="36" spans="1:23" ht="15.75" customHeight="1">
      <c r="A36" s="33"/>
      <c r="B36" s="41"/>
      <c r="C36" s="58" t="s">
        <v>47</v>
      </c>
      <c r="D36" s="42"/>
      <c r="E36" s="43">
        <v>10000</v>
      </c>
      <c r="F36" s="40"/>
      <c r="G36" s="40"/>
      <c r="H36" s="40"/>
      <c r="I36" s="40"/>
      <c r="J36" s="40"/>
      <c r="K36" s="40"/>
      <c r="L36" s="40"/>
      <c r="M36" s="44"/>
      <c r="N36" s="40"/>
      <c r="O36" s="44"/>
      <c r="P36" s="40"/>
      <c r="Q36" s="46"/>
      <c r="R36" s="40"/>
      <c r="S36" s="47">
        <f>10000-F36-G36-H36-I36-J36-K36-L36-M36-N36-O36-P36-Q36</f>
        <v>10000</v>
      </c>
      <c r="T36" s="4"/>
      <c r="U36" s="4">
        <f t="shared" si="13"/>
        <v>0</v>
      </c>
      <c r="V36" s="5"/>
      <c r="W36" s="5"/>
    </row>
    <row r="37" spans="1:23" ht="15.75" customHeight="1">
      <c r="A37" s="33"/>
      <c r="B37" s="41"/>
      <c r="C37" s="58" t="s">
        <v>48</v>
      </c>
      <c r="D37" s="42"/>
      <c r="E37" s="43">
        <f>15000+20000</f>
        <v>35000</v>
      </c>
      <c r="F37" s="40"/>
      <c r="G37" s="40"/>
      <c r="H37" s="44">
        <f>12400</f>
        <v>12400</v>
      </c>
      <c r="I37" s="44">
        <f>2000+2000</f>
        <v>4000</v>
      </c>
      <c r="J37" s="44">
        <v>2000</v>
      </c>
      <c r="K37" s="40"/>
      <c r="L37" s="40"/>
      <c r="M37" s="40"/>
      <c r="N37" s="44">
        <v>3000</v>
      </c>
      <c r="O37" s="44"/>
      <c r="P37" s="44"/>
      <c r="Q37" s="46"/>
      <c r="R37" s="40"/>
      <c r="S37" s="47">
        <f t="shared" ref="S37:S38" si="14">E37-F37-G37-H37-I37-J37-K37-L37-M37-N37-O37-P37-Q37</f>
        <v>13600</v>
      </c>
      <c r="T37" s="4"/>
      <c r="U37" s="4">
        <f t="shared" si="13"/>
        <v>21400</v>
      </c>
      <c r="V37" s="5"/>
      <c r="W37" s="5"/>
    </row>
    <row r="38" spans="1:23" ht="15.75" customHeight="1">
      <c r="A38" s="33"/>
      <c r="B38" s="41"/>
      <c r="C38" s="58" t="s">
        <v>49</v>
      </c>
      <c r="D38" s="42"/>
      <c r="E38" s="43">
        <f>10000+20000</f>
        <v>30000</v>
      </c>
      <c r="F38" s="40"/>
      <c r="G38" s="40">
        <f>2800</f>
        <v>2800</v>
      </c>
      <c r="H38" s="40">
        <f>1500</f>
        <v>1500</v>
      </c>
      <c r="I38" s="40">
        <f>8000</f>
        <v>8000</v>
      </c>
      <c r="J38" s="40"/>
      <c r="K38" s="40"/>
      <c r="L38" s="40"/>
      <c r="M38" s="40"/>
      <c r="N38" s="40">
        <f>3000</f>
        <v>3000</v>
      </c>
      <c r="O38" s="40"/>
      <c r="P38" s="44"/>
      <c r="Q38" s="46"/>
      <c r="R38" s="40"/>
      <c r="S38" s="47">
        <f t="shared" si="14"/>
        <v>14700</v>
      </c>
      <c r="T38" s="4"/>
      <c r="U38" s="4">
        <f t="shared" si="13"/>
        <v>15300</v>
      </c>
      <c r="V38" s="5"/>
      <c r="W38" s="5"/>
    </row>
    <row r="39" spans="1:23" ht="15.75" customHeight="1">
      <c r="A39" s="33"/>
      <c r="B39" s="41"/>
      <c r="C39" s="60" t="s">
        <v>50</v>
      </c>
      <c r="D39" s="57"/>
      <c r="E39" s="43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6"/>
      <c r="R39" s="40"/>
      <c r="S39" s="47"/>
      <c r="T39" s="4"/>
      <c r="U39" s="4">
        <f t="shared" si="13"/>
        <v>0</v>
      </c>
      <c r="V39" s="5"/>
      <c r="W39" s="5"/>
    </row>
    <row r="40" spans="1:23" ht="15.75" customHeight="1">
      <c r="A40" s="33"/>
      <c r="B40" s="41" t="s">
        <v>51</v>
      </c>
      <c r="C40" s="58"/>
      <c r="D40" s="42"/>
      <c r="E40" s="43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6"/>
      <c r="R40" s="40"/>
      <c r="S40" s="47"/>
      <c r="T40" s="4"/>
      <c r="U40" s="4">
        <f t="shared" si="13"/>
        <v>0</v>
      </c>
      <c r="V40" s="5"/>
      <c r="W40" s="5"/>
    </row>
    <row r="41" spans="1:23" ht="15.75" customHeight="1">
      <c r="A41" s="33"/>
      <c r="B41" s="41"/>
      <c r="C41" s="58" t="s">
        <v>52</v>
      </c>
      <c r="D41" s="42"/>
      <c r="E41" s="43">
        <f>450000+100000</f>
        <v>550000</v>
      </c>
      <c r="F41" s="40">
        <f>3900+3900+3650+5000+3900+9820+3900+4900+3672</f>
        <v>42642</v>
      </c>
      <c r="G41" s="40">
        <f>4992+12000+40410+3190+2360+7800</f>
        <v>70752</v>
      </c>
      <c r="H41" s="40">
        <f>12008+4200+3900+6120</f>
        <v>26228</v>
      </c>
      <c r="I41" s="40">
        <f>12850+7960+8608+88200</f>
        <v>117618</v>
      </c>
      <c r="J41" s="44">
        <f>7880+167002</f>
        <v>174882</v>
      </c>
      <c r="K41" s="40"/>
      <c r="L41" s="40"/>
      <c r="M41" s="40"/>
      <c r="N41" s="40"/>
      <c r="O41" s="44"/>
      <c r="P41" s="40"/>
      <c r="Q41" s="46"/>
      <c r="R41" s="40"/>
      <c r="S41" s="47">
        <f t="shared" ref="S41:S42" si="15">E41-F41-G41-H41-I41-J41-K41-L41-M41-N41-O41-P41-Q41</f>
        <v>117878</v>
      </c>
      <c r="T41" s="4"/>
      <c r="U41" s="4">
        <f t="shared" si="13"/>
        <v>432122</v>
      </c>
      <c r="V41" s="5"/>
      <c r="W41" s="5"/>
    </row>
    <row r="42" spans="1:23" ht="15.75" customHeight="1">
      <c r="A42" s="33"/>
      <c r="B42" s="41"/>
      <c r="C42" s="58" t="s">
        <v>53</v>
      </c>
      <c r="D42" s="42"/>
      <c r="E42" s="43">
        <v>350000</v>
      </c>
      <c r="F42" s="40"/>
      <c r="G42" s="40"/>
      <c r="H42" s="40"/>
      <c r="I42" s="40"/>
      <c r="J42" s="40"/>
      <c r="K42" s="40">
        <f>232900+117100</f>
        <v>350000</v>
      </c>
      <c r="L42" s="40"/>
      <c r="M42" s="40"/>
      <c r="N42" s="40"/>
      <c r="O42" s="40"/>
      <c r="P42" s="40"/>
      <c r="Q42" s="46"/>
      <c r="R42" s="40"/>
      <c r="S42" s="47">
        <f t="shared" si="15"/>
        <v>0</v>
      </c>
      <c r="T42" s="4"/>
      <c r="U42" s="4">
        <f t="shared" si="13"/>
        <v>350000</v>
      </c>
      <c r="V42" s="5"/>
      <c r="W42" s="5"/>
    </row>
    <row r="43" spans="1:23" ht="15.75" customHeight="1">
      <c r="A43" s="33"/>
      <c r="B43" s="41"/>
      <c r="C43" s="58" t="s">
        <v>54</v>
      </c>
      <c r="D43" s="42"/>
      <c r="E43" s="43">
        <v>20000</v>
      </c>
      <c r="F43" s="40"/>
      <c r="G43" s="40"/>
      <c r="H43" s="40"/>
      <c r="I43" s="40"/>
      <c r="J43" s="40"/>
      <c r="K43" s="44" t="s">
        <v>22</v>
      </c>
      <c r="L43" s="40"/>
      <c r="M43" s="40"/>
      <c r="N43" s="40"/>
      <c r="O43" s="40"/>
      <c r="P43" s="40"/>
      <c r="Q43" s="46"/>
      <c r="R43" s="40"/>
      <c r="S43" s="61">
        <v>20000</v>
      </c>
      <c r="T43" s="4"/>
      <c r="U43" s="4">
        <f t="shared" si="13"/>
        <v>0</v>
      </c>
      <c r="V43" s="5"/>
      <c r="W43" s="5"/>
    </row>
    <row r="44" spans="1:23" ht="15.75" customHeight="1">
      <c r="A44" s="33"/>
      <c r="B44" s="41"/>
      <c r="C44" s="59" t="s">
        <v>55</v>
      </c>
      <c r="D44" s="42"/>
      <c r="E44" s="43">
        <v>60000</v>
      </c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6"/>
      <c r="R44" s="40"/>
      <c r="S44" s="47">
        <f>60000-F44-G44-H44-I44-J44-K44-L44-M44-N44-O44-P44-Q44</f>
        <v>60000</v>
      </c>
      <c r="T44" s="4"/>
      <c r="U44" s="4">
        <f t="shared" si="13"/>
        <v>0</v>
      </c>
      <c r="V44" s="5"/>
      <c r="W44" s="5"/>
    </row>
    <row r="45" spans="1:23" ht="15.75" customHeight="1">
      <c r="A45" s="33"/>
      <c r="B45" s="41"/>
      <c r="C45" s="58" t="s">
        <v>56</v>
      </c>
      <c r="D45" s="42"/>
      <c r="E45" s="43">
        <v>400000</v>
      </c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6"/>
      <c r="R45" s="40"/>
      <c r="S45" s="47">
        <f>400000-F45-G45-H45-I45-J45-K45-L45-M45-N45-O45-P45-Q45</f>
        <v>400000</v>
      </c>
      <c r="T45" s="4"/>
      <c r="U45" s="4">
        <f t="shared" si="13"/>
        <v>0</v>
      </c>
      <c r="V45" s="5"/>
      <c r="W45" s="5"/>
    </row>
    <row r="46" spans="1:23" ht="15.75" customHeight="1">
      <c r="A46" s="33"/>
      <c r="B46" s="41"/>
      <c r="C46" s="60" t="s">
        <v>57</v>
      </c>
      <c r="D46" s="57"/>
      <c r="E46" s="43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6"/>
      <c r="R46" s="40"/>
      <c r="S46" s="47"/>
      <c r="T46" s="4"/>
      <c r="U46" s="4">
        <f t="shared" si="13"/>
        <v>0</v>
      </c>
      <c r="V46" s="5"/>
      <c r="W46" s="5"/>
    </row>
    <row r="47" spans="1:23" ht="15.75" customHeight="1">
      <c r="A47" s="33"/>
      <c r="B47" s="41"/>
      <c r="C47" s="58" t="s">
        <v>58</v>
      </c>
      <c r="D47" s="42"/>
      <c r="E47" s="43">
        <f>120000-20000</f>
        <v>100000</v>
      </c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6"/>
      <c r="R47" s="40"/>
      <c r="S47" s="47">
        <f>E47-F47-G47-H47-I47-J47-K47-L47-M47-N47-O47-P47-Q47</f>
        <v>100000</v>
      </c>
      <c r="T47" s="4"/>
      <c r="U47" s="4">
        <f t="shared" si="13"/>
        <v>0</v>
      </c>
      <c r="V47" s="5"/>
      <c r="W47" s="5"/>
    </row>
    <row r="48" spans="1:23" ht="15.75" customHeight="1">
      <c r="A48" s="33"/>
      <c r="B48" s="41"/>
      <c r="C48" s="58" t="s">
        <v>59</v>
      </c>
      <c r="D48" s="42"/>
      <c r="E48" s="43">
        <v>30000</v>
      </c>
      <c r="F48" s="40"/>
      <c r="G48" s="40"/>
      <c r="H48" s="40"/>
      <c r="I48" s="40"/>
      <c r="J48" s="40"/>
      <c r="K48" s="40"/>
      <c r="L48" s="40"/>
      <c r="M48" s="44"/>
      <c r="N48" s="40"/>
      <c r="O48" s="40"/>
      <c r="P48" s="40"/>
      <c r="Q48" s="46"/>
      <c r="R48" s="40"/>
      <c r="S48" s="47">
        <f t="shared" ref="S48:S49" si="16">30000-F48-G48-H48-I48-J48-K48-L48-M48-N48-O48-P48-Q48</f>
        <v>30000</v>
      </c>
      <c r="T48" s="4"/>
      <c r="U48" s="4">
        <f t="shared" si="13"/>
        <v>0</v>
      </c>
      <c r="V48" s="5"/>
      <c r="W48" s="5"/>
    </row>
    <row r="49" spans="1:23" ht="15.75" customHeight="1">
      <c r="A49" s="33"/>
      <c r="B49" s="41"/>
      <c r="C49" s="58" t="s">
        <v>60</v>
      </c>
      <c r="D49" s="42"/>
      <c r="E49" s="43">
        <v>30000</v>
      </c>
      <c r="F49" s="40"/>
      <c r="G49" s="40"/>
      <c r="H49" s="44">
        <v>30000</v>
      </c>
      <c r="I49" s="40"/>
      <c r="J49" s="40"/>
      <c r="K49" s="40"/>
      <c r="L49" s="40"/>
      <c r="M49" s="44"/>
      <c r="N49" s="40"/>
      <c r="O49" s="40"/>
      <c r="P49" s="40"/>
      <c r="Q49" s="46"/>
      <c r="R49" s="40"/>
      <c r="S49" s="47">
        <f t="shared" si="16"/>
        <v>0</v>
      </c>
      <c r="T49" s="4"/>
      <c r="U49" s="4">
        <f t="shared" si="13"/>
        <v>30000</v>
      </c>
      <c r="V49" s="5"/>
      <c r="W49" s="5"/>
    </row>
    <row r="50" spans="1:23" ht="15.75" customHeight="1">
      <c r="A50" s="33"/>
      <c r="B50" s="41"/>
      <c r="C50" s="58" t="s">
        <v>61</v>
      </c>
      <c r="D50" s="42"/>
      <c r="E50" s="43">
        <f>30000-30000</f>
        <v>0</v>
      </c>
      <c r="F50" s="58"/>
      <c r="G50" s="40"/>
      <c r="H50" s="40"/>
      <c r="I50" s="40"/>
      <c r="J50" s="40"/>
      <c r="K50" s="40"/>
      <c r="L50" s="40"/>
      <c r="M50" s="44"/>
      <c r="N50" s="40"/>
      <c r="O50" s="40"/>
      <c r="P50" s="40"/>
      <c r="Q50" s="46"/>
      <c r="R50" s="40"/>
      <c r="S50" s="47">
        <f>E50-F50-G50-H50-I50-J50-K50-L50-M50-N50-O50-P50-Q50</f>
        <v>0</v>
      </c>
      <c r="T50" s="4"/>
      <c r="U50" s="4">
        <f t="shared" si="13"/>
        <v>0</v>
      </c>
      <c r="V50" s="5"/>
      <c r="W50" s="5"/>
    </row>
    <row r="51" spans="1:23" ht="15.75" customHeight="1">
      <c r="A51" s="33"/>
      <c r="B51" s="41"/>
      <c r="C51" s="60" t="s">
        <v>62</v>
      </c>
      <c r="D51" s="57"/>
      <c r="E51" s="43"/>
      <c r="F51" s="40"/>
      <c r="G51" s="40"/>
      <c r="H51" s="40"/>
      <c r="I51" s="40"/>
      <c r="J51" s="40"/>
      <c r="K51" s="40"/>
      <c r="L51" s="40"/>
      <c r="M51" s="44"/>
      <c r="N51" s="40"/>
      <c r="O51" s="40"/>
      <c r="P51" s="40"/>
      <c r="Q51" s="46"/>
      <c r="R51" s="40"/>
      <c r="S51" s="47"/>
      <c r="T51" s="4"/>
      <c r="U51" s="4">
        <f t="shared" si="13"/>
        <v>0</v>
      </c>
      <c r="V51" s="5"/>
      <c r="W51" s="5"/>
    </row>
    <row r="52" spans="1:23" ht="18" customHeight="1">
      <c r="A52" s="33"/>
      <c r="B52" s="41"/>
      <c r="C52" s="58" t="s">
        <v>63</v>
      </c>
      <c r="D52" s="42"/>
      <c r="E52" s="43">
        <v>20000</v>
      </c>
      <c r="F52" s="40"/>
      <c r="G52" s="40"/>
      <c r="H52" s="40"/>
      <c r="I52" s="40"/>
      <c r="J52" s="40"/>
      <c r="K52" s="40"/>
      <c r="L52" s="40"/>
      <c r="M52" s="44"/>
      <c r="N52" s="40"/>
      <c r="O52" s="40"/>
      <c r="P52" s="40"/>
      <c r="Q52" s="46"/>
      <c r="R52" s="40"/>
      <c r="S52" s="47">
        <f t="shared" ref="S52:S54" si="17">20000-F52-G52-H52-I52-J52-K52-L52-M52-N52-O52-P52-Q52</f>
        <v>20000</v>
      </c>
      <c r="T52" s="4"/>
      <c r="U52" s="4">
        <f t="shared" si="13"/>
        <v>0</v>
      </c>
      <c r="V52" s="5"/>
      <c r="W52" s="5"/>
    </row>
    <row r="53" spans="1:23" ht="15.75" customHeight="1">
      <c r="A53" s="33"/>
      <c r="B53" s="41"/>
      <c r="C53" s="59" t="s">
        <v>64</v>
      </c>
      <c r="D53" s="42"/>
      <c r="E53" s="43">
        <v>20000</v>
      </c>
      <c r="F53" s="40"/>
      <c r="G53" s="40"/>
      <c r="H53" s="40"/>
      <c r="I53" s="40"/>
      <c r="J53" s="40"/>
      <c r="K53" s="40"/>
      <c r="L53" s="40"/>
      <c r="M53" s="44"/>
      <c r="N53" s="40"/>
      <c r="O53" s="40"/>
      <c r="P53" s="40"/>
      <c r="Q53" s="46"/>
      <c r="R53" s="40"/>
      <c r="S53" s="47">
        <f t="shared" si="17"/>
        <v>20000</v>
      </c>
      <c r="T53" s="4"/>
      <c r="U53" s="4">
        <f t="shared" si="13"/>
        <v>0</v>
      </c>
      <c r="V53" s="5"/>
      <c r="W53" s="5"/>
    </row>
    <row r="54" spans="1:23" ht="15.75" customHeight="1">
      <c r="A54" s="33"/>
      <c r="B54" s="41"/>
      <c r="C54" s="58" t="s">
        <v>65</v>
      </c>
      <c r="D54" s="42"/>
      <c r="E54" s="43">
        <v>20000</v>
      </c>
      <c r="F54" s="40"/>
      <c r="G54" s="40"/>
      <c r="H54" s="40"/>
      <c r="I54" s="40"/>
      <c r="J54" s="40"/>
      <c r="K54" s="40"/>
      <c r="L54" s="40"/>
      <c r="M54" s="44"/>
      <c r="N54" s="40"/>
      <c r="O54" s="40"/>
      <c r="P54" s="40"/>
      <c r="Q54" s="46"/>
      <c r="R54" s="40"/>
      <c r="S54" s="47">
        <f t="shared" si="17"/>
        <v>20000</v>
      </c>
      <c r="T54" s="4"/>
      <c r="U54" s="4">
        <f t="shared" si="13"/>
        <v>0</v>
      </c>
      <c r="V54" s="5"/>
      <c r="W54" s="5"/>
    </row>
    <row r="55" spans="1:23" ht="15.75" customHeight="1">
      <c r="A55" s="33"/>
      <c r="B55" s="41"/>
      <c r="C55" s="58" t="s">
        <v>66</v>
      </c>
      <c r="D55" s="42"/>
      <c r="E55" s="43">
        <v>60000</v>
      </c>
      <c r="F55" s="40"/>
      <c r="G55" s="40"/>
      <c r="H55" s="40"/>
      <c r="I55" s="40"/>
      <c r="J55" s="40"/>
      <c r="K55" s="40"/>
      <c r="L55" s="44"/>
      <c r="M55" s="44"/>
      <c r="N55" s="40"/>
      <c r="O55" s="40"/>
      <c r="P55" s="40"/>
      <c r="Q55" s="46"/>
      <c r="R55" s="40"/>
      <c r="S55" s="47">
        <f t="shared" ref="S55:S56" si="18">60000-F55-G55-H55-I55-J55-K55-L55-M55-N55-O55-P55-Q55</f>
        <v>60000</v>
      </c>
      <c r="T55" s="4"/>
      <c r="U55" s="4">
        <f t="shared" si="13"/>
        <v>0</v>
      </c>
      <c r="V55" s="5"/>
      <c r="W55" s="5"/>
    </row>
    <row r="56" spans="1:23" ht="15.75" customHeight="1">
      <c r="A56" s="33"/>
      <c r="B56" s="41"/>
      <c r="C56" s="58" t="s">
        <v>67</v>
      </c>
      <c r="D56" s="42"/>
      <c r="E56" s="43">
        <v>60000</v>
      </c>
      <c r="F56" s="40"/>
      <c r="G56" s="40"/>
      <c r="H56" s="40">
        <f>20000+24000+16000</f>
        <v>60000</v>
      </c>
      <c r="I56" s="40"/>
      <c r="J56" s="40"/>
      <c r="K56" s="40"/>
      <c r="L56" s="40"/>
      <c r="M56" s="44"/>
      <c r="N56" s="40"/>
      <c r="O56" s="40"/>
      <c r="P56" s="40"/>
      <c r="Q56" s="46"/>
      <c r="R56" s="40"/>
      <c r="S56" s="47">
        <f t="shared" si="18"/>
        <v>0</v>
      </c>
      <c r="T56" s="4"/>
      <c r="U56" s="4">
        <f t="shared" si="13"/>
        <v>60000</v>
      </c>
      <c r="V56" s="5"/>
      <c r="W56" s="5"/>
    </row>
    <row r="57" spans="1:23" ht="15.75" customHeight="1">
      <c r="A57" s="33"/>
      <c r="B57" s="41"/>
      <c r="C57" s="58" t="s">
        <v>68</v>
      </c>
      <c r="D57" s="42"/>
      <c r="E57" s="43">
        <v>20000</v>
      </c>
      <c r="F57" s="40"/>
      <c r="G57" s="40"/>
      <c r="H57" s="40"/>
      <c r="I57" s="40"/>
      <c r="J57" s="40"/>
      <c r="K57" s="40"/>
      <c r="L57" s="40"/>
      <c r="M57" s="44"/>
      <c r="N57" s="40"/>
      <c r="O57" s="40"/>
      <c r="P57" s="40"/>
      <c r="Q57" s="46"/>
      <c r="R57" s="40"/>
      <c r="S57" s="47">
        <f t="shared" ref="S57:S58" si="19">20000-F57-G57-H57-I57-J57-K57-L57-M57-N57-O57-P57-Q57</f>
        <v>20000</v>
      </c>
      <c r="T57" s="4"/>
      <c r="U57" s="4">
        <f t="shared" si="13"/>
        <v>0</v>
      </c>
      <c r="V57" s="5"/>
      <c r="W57" s="5"/>
    </row>
    <row r="58" spans="1:23" ht="15.75" customHeight="1">
      <c r="A58" s="33"/>
      <c r="B58" s="41"/>
      <c r="C58" s="58" t="s">
        <v>69</v>
      </c>
      <c r="D58" s="42"/>
      <c r="E58" s="43">
        <v>20000</v>
      </c>
      <c r="F58" s="40"/>
      <c r="G58" s="40"/>
      <c r="H58" s="40"/>
      <c r="I58" s="40"/>
      <c r="J58" s="40"/>
      <c r="K58" s="40"/>
      <c r="L58" s="40"/>
      <c r="M58" s="44"/>
      <c r="N58" s="40"/>
      <c r="O58" s="40"/>
      <c r="P58" s="40"/>
      <c r="Q58" s="46"/>
      <c r="R58" s="40"/>
      <c r="S58" s="47">
        <f t="shared" si="19"/>
        <v>20000</v>
      </c>
      <c r="T58" s="4"/>
      <c r="U58" s="4">
        <f t="shared" si="13"/>
        <v>0</v>
      </c>
      <c r="V58" s="5"/>
      <c r="W58" s="5"/>
    </row>
    <row r="59" spans="1:23" ht="15.75" customHeight="1">
      <c r="A59" s="33"/>
      <c r="B59" s="41"/>
      <c r="C59" s="58" t="s">
        <v>70</v>
      </c>
      <c r="D59" s="42"/>
      <c r="E59" s="43">
        <v>10000</v>
      </c>
      <c r="F59" s="40"/>
      <c r="G59" s="40"/>
      <c r="H59" s="40"/>
      <c r="I59" s="40"/>
      <c r="J59" s="40"/>
      <c r="K59" s="40"/>
      <c r="L59" s="40"/>
      <c r="M59" s="44"/>
      <c r="N59" s="40"/>
      <c r="O59" s="40"/>
      <c r="P59" s="40"/>
      <c r="Q59" s="46"/>
      <c r="R59" s="40"/>
      <c r="S59" s="47">
        <f>10000-F59-G59-H59-I59-J59-K59-L59-M59-N59-O59-P59-Q59</f>
        <v>10000</v>
      </c>
      <c r="T59" s="4"/>
      <c r="U59" s="4">
        <f t="shared" si="13"/>
        <v>0</v>
      </c>
      <c r="V59" s="5"/>
      <c r="W59" s="5"/>
    </row>
    <row r="60" spans="1:23" ht="15.75" customHeight="1">
      <c r="A60" s="33"/>
      <c r="B60" s="41"/>
      <c r="C60" s="58" t="s">
        <v>71</v>
      </c>
      <c r="D60" s="42"/>
      <c r="E60" s="43">
        <v>30000</v>
      </c>
      <c r="F60" s="40"/>
      <c r="G60" s="40"/>
      <c r="H60" s="40"/>
      <c r="I60" s="40"/>
      <c r="J60" s="40">
        <f>3600+3600+16000+5600+1200</f>
        <v>30000</v>
      </c>
      <c r="K60" s="40"/>
      <c r="L60" s="40"/>
      <c r="M60" s="44"/>
      <c r="N60" s="40"/>
      <c r="O60" s="40"/>
      <c r="P60" s="40"/>
      <c r="Q60" s="46"/>
      <c r="R60" s="40"/>
      <c r="S60" s="47">
        <f t="shared" ref="S60:S61" si="20">30000-F60-G60-H60-I60-J60-K60-L60-M60-N60-O60-P60-Q60</f>
        <v>0</v>
      </c>
      <c r="T60" s="4"/>
      <c r="U60" s="4">
        <f t="shared" si="13"/>
        <v>30000</v>
      </c>
      <c r="V60" s="5"/>
      <c r="W60" s="5"/>
    </row>
    <row r="61" spans="1:23" ht="15.75" customHeight="1">
      <c r="A61" s="33"/>
      <c r="B61" s="41"/>
      <c r="C61" s="58" t="s">
        <v>72</v>
      </c>
      <c r="D61" s="42"/>
      <c r="E61" s="43">
        <v>30000</v>
      </c>
      <c r="F61" s="40"/>
      <c r="G61" s="40"/>
      <c r="H61" s="40"/>
      <c r="I61" s="40"/>
      <c r="J61" s="40"/>
      <c r="K61" s="40"/>
      <c r="L61" s="40"/>
      <c r="M61" s="44"/>
      <c r="N61" s="40"/>
      <c r="O61" s="40"/>
      <c r="P61" s="40"/>
      <c r="Q61" s="46"/>
      <c r="R61" s="40"/>
      <c r="S61" s="47">
        <f t="shared" si="20"/>
        <v>30000</v>
      </c>
      <c r="T61" s="4"/>
      <c r="U61" s="4">
        <f t="shared" si="13"/>
        <v>0</v>
      </c>
      <c r="V61" s="5"/>
      <c r="W61" s="5"/>
    </row>
    <row r="62" spans="1:23" ht="15.75" customHeight="1">
      <c r="A62" s="33"/>
      <c r="B62" s="41"/>
      <c r="C62" s="58" t="s">
        <v>73</v>
      </c>
      <c r="D62" s="42"/>
      <c r="E62" s="43">
        <v>10000</v>
      </c>
      <c r="F62" s="40"/>
      <c r="G62" s="40"/>
      <c r="H62" s="40"/>
      <c r="I62" s="40"/>
      <c r="J62" s="40"/>
      <c r="K62" s="40"/>
      <c r="L62" s="40"/>
      <c r="M62" s="44"/>
      <c r="N62" s="40"/>
      <c r="O62" s="40"/>
      <c r="P62" s="40"/>
      <c r="Q62" s="46"/>
      <c r="R62" s="40"/>
      <c r="S62" s="47">
        <f t="shared" ref="S62:S63" si="21">10000-F62-G62-H62-I62-J62-K62-L62-M62-N62-O62-P62-Q62</f>
        <v>10000</v>
      </c>
      <c r="T62" s="4"/>
      <c r="U62" s="4">
        <f t="shared" si="13"/>
        <v>0</v>
      </c>
      <c r="V62" s="5"/>
      <c r="W62" s="5"/>
    </row>
    <row r="63" spans="1:23" ht="15.75" customHeight="1">
      <c r="A63" s="33"/>
      <c r="B63" s="41"/>
      <c r="C63" s="58" t="s">
        <v>74</v>
      </c>
      <c r="D63" s="42"/>
      <c r="E63" s="43">
        <v>10000</v>
      </c>
      <c r="F63" s="40"/>
      <c r="G63" s="40"/>
      <c r="H63" s="40"/>
      <c r="I63" s="40"/>
      <c r="J63" s="40"/>
      <c r="K63" s="40"/>
      <c r="L63" s="40"/>
      <c r="M63" s="44"/>
      <c r="N63" s="40"/>
      <c r="O63" s="40"/>
      <c r="P63" s="40"/>
      <c r="Q63" s="46"/>
      <c r="R63" s="40"/>
      <c r="S63" s="47">
        <f t="shared" si="21"/>
        <v>10000</v>
      </c>
      <c r="T63" s="4"/>
      <c r="U63" s="4">
        <f t="shared" si="13"/>
        <v>0</v>
      </c>
      <c r="V63" s="5"/>
      <c r="W63" s="5"/>
    </row>
    <row r="64" spans="1:23" ht="15.75" customHeight="1">
      <c r="A64" s="33"/>
      <c r="B64" s="41"/>
      <c r="C64" s="58" t="s">
        <v>75</v>
      </c>
      <c r="D64" s="42"/>
      <c r="E64" s="43">
        <v>20000</v>
      </c>
      <c r="F64" s="40"/>
      <c r="G64" s="40"/>
      <c r="H64" s="40"/>
      <c r="I64" s="40"/>
      <c r="J64" s="40"/>
      <c r="K64" s="40"/>
      <c r="L64" s="40"/>
      <c r="M64" s="44"/>
      <c r="N64" s="40"/>
      <c r="O64" s="40"/>
      <c r="P64" s="40"/>
      <c r="Q64" s="46"/>
      <c r="R64" s="40"/>
      <c r="S64" s="47">
        <f t="shared" ref="S64:S65" si="22">20000-F64-G64-H64-I64-J64-K64-L64-M64-N64-O64-P64-Q64</f>
        <v>20000</v>
      </c>
      <c r="T64" s="4"/>
      <c r="U64" s="4">
        <f t="shared" si="13"/>
        <v>0</v>
      </c>
      <c r="V64" s="5"/>
      <c r="W64" s="5"/>
    </row>
    <row r="65" spans="1:23" ht="15.75" customHeight="1">
      <c r="A65" s="33"/>
      <c r="B65" s="41"/>
      <c r="C65" s="58" t="s">
        <v>76</v>
      </c>
      <c r="D65" s="42"/>
      <c r="E65" s="43">
        <v>20000</v>
      </c>
      <c r="F65" s="40"/>
      <c r="G65" s="40"/>
      <c r="H65" s="40"/>
      <c r="I65" s="40"/>
      <c r="J65" s="40"/>
      <c r="K65" s="40"/>
      <c r="L65" s="40"/>
      <c r="M65" s="44"/>
      <c r="N65" s="40"/>
      <c r="O65" s="40"/>
      <c r="P65" s="40"/>
      <c r="Q65" s="46"/>
      <c r="R65" s="40"/>
      <c r="S65" s="47">
        <f t="shared" si="22"/>
        <v>20000</v>
      </c>
      <c r="T65" s="4"/>
      <c r="U65" s="4">
        <f t="shared" si="13"/>
        <v>0</v>
      </c>
      <c r="V65" s="5"/>
      <c r="W65" s="5"/>
    </row>
    <row r="66" spans="1:23" ht="15.75" customHeight="1">
      <c r="A66" s="33"/>
      <c r="B66" s="41"/>
      <c r="C66" s="58" t="s">
        <v>77</v>
      </c>
      <c r="D66" s="42"/>
      <c r="E66" s="43">
        <f>70000-70000</f>
        <v>0</v>
      </c>
      <c r="F66" s="40"/>
      <c r="G66" s="40"/>
      <c r="H66" s="40"/>
      <c r="I66" s="40"/>
      <c r="J66" s="40"/>
      <c r="K66" s="40"/>
      <c r="L66" s="40"/>
      <c r="M66" s="44"/>
      <c r="N66" s="40"/>
      <c r="O66" s="40"/>
      <c r="P66" s="40"/>
      <c r="Q66" s="46"/>
      <c r="R66" s="40"/>
      <c r="S66" s="47">
        <f>E66-F66-G66-H66-I66-J66-K66-L66-M66-N66-O66-P66-Q66</f>
        <v>0</v>
      </c>
      <c r="T66" s="4"/>
      <c r="U66" s="4">
        <f t="shared" si="13"/>
        <v>0</v>
      </c>
      <c r="V66" s="5"/>
      <c r="W66" s="5"/>
    </row>
    <row r="67" spans="1:23" ht="15.75" customHeight="1">
      <c r="A67" s="33"/>
      <c r="B67" s="41" t="s">
        <v>78</v>
      </c>
      <c r="C67" s="58"/>
      <c r="D67" s="57"/>
      <c r="E67" s="43"/>
      <c r="F67" s="40"/>
      <c r="G67" s="40"/>
      <c r="H67" s="40"/>
      <c r="I67" s="40"/>
      <c r="J67" s="40"/>
      <c r="K67" s="40"/>
      <c r="L67" s="40"/>
      <c r="M67" s="44"/>
      <c r="N67" s="40"/>
      <c r="O67" s="40"/>
      <c r="P67" s="40"/>
      <c r="Q67" s="46"/>
      <c r="R67" s="40"/>
      <c r="S67" s="47"/>
      <c r="T67" s="4"/>
      <c r="U67" s="4">
        <f t="shared" si="13"/>
        <v>0</v>
      </c>
      <c r="V67" s="5"/>
      <c r="W67" s="5"/>
    </row>
    <row r="68" spans="1:23" ht="15.75" customHeight="1">
      <c r="A68" s="33"/>
      <c r="B68" s="41"/>
      <c r="C68" s="58" t="s">
        <v>79</v>
      </c>
      <c r="D68" s="42"/>
      <c r="E68" s="43">
        <f>50000+70000+30000+20000</f>
        <v>170000</v>
      </c>
      <c r="F68" s="40">
        <f>8400</f>
        <v>8400</v>
      </c>
      <c r="G68" s="40"/>
      <c r="H68" s="44">
        <v>28800</v>
      </c>
      <c r="I68" s="44">
        <f>260+3500+7600</f>
        <v>11360</v>
      </c>
      <c r="J68" s="40">
        <f>2500+2750+15400+1250</f>
        <v>21900</v>
      </c>
      <c r="K68" s="40">
        <f>1110+5260+360</f>
        <v>6730</v>
      </c>
      <c r="L68" s="40">
        <f>5500+4115</f>
        <v>9615</v>
      </c>
      <c r="M68" s="44">
        <f>1670+25000</f>
        <v>26670</v>
      </c>
      <c r="N68" s="44">
        <f>11350+2350+9800+3950</f>
        <v>27450</v>
      </c>
      <c r="O68" s="44"/>
      <c r="P68" s="44"/>
      <c r="Q68" s="46"/>
      <c r="R68" s="40"/>
      <c r="S68" s="47">
        <f>E68-F68-G68-H68-I68-J68-K68-L68-M68-N68-O68-P68-Q68</f>
        <v>29075</v>
      </c>
      <c r="T68" s="4"/>
      <c r="U68" s="4">
        <f t="shared" si="13"/>
        <v>140925</v>
      </c>
      <c r="V68" s="5"/>
      <c r="W68" s="5"/>
    </row>
    <row r="69" spans="1:23" ht="15.75" customHeight="1">
      <c r="A69" s="33"/>
      <c r="B69" s="41"/>
      <c r="C69" s="58" t="s">
        <v>80</v>
      </c>
      <c r="D69" s="57"/>
      <c r="E69" s="43">
        <v>60000</v>
      </c>
      <c r="F69" s="40"/>
      <c r="G69" s="40"/>
      <c r="H69" s="40"/>
      <c r="I69" s="40"/>
      <c r="J69" s="40"/>
      <c r="K69" s="40">
        <f>14665</f>
        <v>14665</v>
      </c>
      <c r="L69" s="40"/>
      <c r="M69" s="44"/>
      <c r="N69" s="40"/>
      <c r="O69" s="44"/>
      <c r="P69" s="44"/>
      <c r="Q69" s="46"/>
      <c r="R69" s="40"/>
      <c r="S69" s="47">
        <f>60000-F69-G69-H69-I69-J69-K69-L69-M69-N69-O69-P69-Q69</f>
        <v>45335</v>
      </c>
      <c r="T69" s="4"/>
      <c r="U69" s="4">
        <f t="shared" si="13"/>
        <v>14665</v>
      </c>
      <c r="V69" s="5"/>
      <c r="W69" s="5"/>
    </row>
    <row r="70" spans="1:23" ht="15.75" customHeight="1">
      <c r="A70" s="33"/>
      <c r="B70" s="62" t="s">
        <v>81</v>
      </c>
      <c r="C70" s="58"/>
      <c r="D70" s="57">
        <v>408000</v>
      </c>
      <c r="E70" s="43"/>
      <c r="F70" s="40"/>
      <c r="G70" s="40"/>
      <c r="H70" s="40"/>
      <c r="I70" s="40"/>
      <c r="J70" s="40"/>
      <c r="K70" s="40"/>
      <c r="L70" s="40"/>
      <c r="M70" s="44"/>
      <c r="N70" s="40"/>
      <c r="O70" s="40"/>
      <c r="P70" s="40"/>
      <c r="Q70" s="46"/>
      <c r="R70" s="40"/>
      <c r="S70" s="47"/>
      <c r="T70" s="4"/>
      <c r="U70" s="4">
        <f t="shared" si="13"/>
        <v>0</v>
      </c>
      <c r="V70" s="5"/>
      <c r="W70" s="5"/>
    </row>
    <row r="71" spans="1:23" ht="15.75" customHeight="1">
      <c r="A71" s="33"/>
      <c r="B71" s="41" t="s">
        <v>82</v>
      </c>
      <c r="C71" s="58"/>
      <c r="D71" s="57"/>
      <c r="E71" s="43"/>
      <c r="F71" s="40"/>
      <c r="G71" s="40"/>
      <c r="H71" s="40"/>
      <c r="I71" s="40"/>
      <c r="J71" s="40"/>
      <c r="K71" s="40"/>
      <c r="L71" s="40"/>
      <c r="M71" s="44"/>
      <c r="N71" s="40"/>
      <c r="O71" s="40"/>
      <c r="P71" s="40"/>
      <c r="Q71" s="46"/>
      <c r="R71" s="40"/>
      <c r="S71" s="47"/>
      <c r="T71" s="4"/>
      <c r="U71" s="4">
        <f t="shared" si="13"/>
        <v>0</v>
      </c>
      <c r="V71" s="5"/>
      <c r="W71" s="5"/>
    </row>
    <row r="72" spans="1:23" ht="15.75" customHeight="1">
      <c r="A72" s="33"/>
      <c r="B72" s="41"/>
      <c r="C72" s="59" t="s">
        <v>83</v>
      </c>
      <c r="D72" s="57"/>
      <c r="E72" s="43">
        <f>55000+10000+10000+30000</f>
        <v>105000</v>
      </c>
      <c r="F72" s="40"/>
      <c r="G72" s="44">
        <f>13500+1280+1488</f>
        <v>16268</v>
      </c>
      <c r="H72" s="44">
        <v>312</v>
      </c>
      <c r="I72" s="40">
        <f>39050+1080</f>
        <v>40130</v>
      </c>
      <c r="J72" s="63">
        <f>1280+1283+480+252+950+396+276</f>
        <v>4917</v>
      </c>
      <c r="K72" s="40">
        <f>10732+444</f>
        <v>11176</v>
      </c>
      <c r="L72" s="44">
        <f>2500+600+396</f>
        <v>3496</v>
      </c>
      <c r="M72" s="44">
        <f>1530+540</f>
        <v>2070</v>
      </c>
      <c r="N72" s="40">
        <f>600+1481+500</f>
        <v>2581</v>
      </c>
      <c r="O72" s="40">
        <f>384</f>
        <v>384</v>
      </c>
      <c r="P72" s="44"/>
      <c r="Q72" s="46"/>
      <c r="R72" s="40"/>
      <c r="S72" s="47">
        <f t="shared" ref="S72:S77" si="23">E72-F72-G72-H72-I72-J72-K72-L72-M72-N72-O72-P72-Q72</f>
        <v>23666</v>
      </c>
      <c r="T72" s="4"/>
      <c r="U72" s="4">
        <f t="shared" si="13"/>
        <v>81334</v>
      </c>
      <c r="V72" s="5"/>
      <c r="W72" s="5"/>
    </row>
    <row r="73" spans="1:23" ht="15.75" customHeight="1">
      <c r="A73" s="33"/>
      <c r="B73" s="41" t="s">
        <v>84</v>
      </c>
      <c r="C73" s="58"/>
      <c r="D73" s="57"/>
      <c r="E73" s="43">
        <f>10000+30000+20000</f>
        <v>60000</v>
      </c>
      <c r="F73" s="40"/>
      <c r="G73" s="40"/>
      <c r="H73" s="40">
        <f>3570</f>
        <v>3570</v>
      </c>
      <c r="I73" s="40">
        <f>9975</f>
        <v>9975</v>
      </c>
      <c r="J73" s="44">
        <v>5985</v>
      </c>
      <c r="K73" s="44">
        <v>8420</v>
      </c>
      <c r="L73" s="44">
        <f>5420</f>
        <v>5420</v>
      </c>
      <c r="M73" s="44"/>
      <c r="N73" s="40">
        <f>2600</f>
        <v>2600</v>
      </c>
      <c r="O73" s="40"/>
      <c r="P73" s="44"/>
      <c r="Q73" s="46"/>
      <c r="R73" s="40"/>
      <c r="S73" s="47">
        <f t="shared" si="23"/>
        <v>24030</v>
      </c>
      <c r="T73" s="4"/>
      <c r="U73" s="4">
        <f t="shared" si="13"/>
        <v>35970</v>
      </c>
      <c r="V73" s="5"/>
      <c r="W73" s="5"/>
    </row>
    <row r="74" spans="1:23" ht="15.75" customHeight="1">
      <c r="A74" s="33"/>
      <c r="B74" s="41" t="s">
        <v>85</v>
      </c>
      <c r="C74" s="58"/>
      <c r="D74" s="57"/>
      <c r="E74" s="43">
        <f>20000+20000</f>
        <v>40000</v>
      </c>
      <c r="F74" s="40"/>
      <c r="G74" s="44">
        <v>1620</v>
      </c>
      <c r="H74" s="40">
        <f>13985</f>
        <v>13985</v>
      </c>
      <c r="I74" s="40"/>
      <c r="J74" s="40"/>
      <c r="K74" s="40">
        <f>6640</f>
        <v>6640</v>
      </c>
      <c r="L74" s="40"/>
      <c r="M74" s="44">
        <v>1620</v>
      </c>
      <c r="N74" s="40"/>
      <c r="O74" s="40"/>
      <c r="P74" s="44"/>
      <c r="Q74" s="46"/>
      <c r="R74" s="40"/>
      <c r="S74" s="47">
        <f t="shared" si="23"/>
        <v>16135</v>
      </c>
      <c r="T74" s="4"/>
      <c r="U74" s="4">
        <f t="shared" si="13"/>
        <v>23865</v>
      </c>
      <c r="V74" s="5"/>
      <c r="W74" s="5"/>
    </row>
    <row r="75" spans="1:23" ht="15.75" customHeight="1">
      <c r="A75" s="33"/>
      <c r="B75" s="41" t="s">
        <v>86</v>
      </c>
      <c r="C75" s="58"/>
      <c r="D75" s="57"/>
      <c r="E75" s="43">
        <f>20000+10000+30000+50000</f>
        <v>110000</v>
      </c>
      <c r="F75" s="40"/>
      <c r="G75" s="40"/>
      <c r="H75" s="40"/>
      <c r="I75" s="40"/>
      <c r="J75" s="40"/>
      <c r="K75" s="40"/>
      <c r="L75" s="44">
        <v>1535</v>
      </c>
      <c r="M75" s="44">
        <v>10540</v>
      </c>
      <c r="N75" s="40">
        <f>4500+575</f>
        <v>5075</v>
      </c>
      <c r="O75" s="44"/>
      <c r="P75" s="44"/>
      <c r="Q75" s="46"/>
      <c r="R75" s="40"/>
      <c r="S75" s="47">
        <f t="shared" si="23"/>
        <v>92850</v>
      </c>
      <c r="T75" s="4"/>
      <c r="U75" s="4">
        <f t="shared" si="13"/>
        <v>17150</v>
      </c>
      <c r="V75" s="5"/>
      <c r="W75" s="5"/>
    </row>
    <row r="76" spans="1:23" ht="15.75" customHeight="1">
      <c r="A76" s="33"/>
      <c r="B76" s="41" t="s">
        <v>87</v>
      </c>
      <c r="C76" s="58"/>
      <c r="D76" s="42"/>
      <c r="E76" s="43">
        <v>30000</v>
      </c>
      <c r="F76" s="40"/>
      <c r="G76" s="40"/>
      <c r="H76" s="44">
        <v>3290</v>
      </c>
      <c r="I76" s="40">
        <f>3050</f>
        <v>3050</v>
      </c>
      <c r="J76" s="40"/>
      <c r="K76" s="40">
        <f>1000</f>
        <v>1000</v>
      </c>
      <c r="L76" s="40"/>
      <c r="M76" s="44"/>
      <c r="N76" s="40"/>
      <c r="O76" s="44"/>
      <c r="P76" s="44"/>
      <c r="Q76" s="46"/>
      <c r="R76" s="40"/>
      <c r="S76" s="47">
        <f t="shared" si="23"/>
        <v>22660</v>
      </c>
      <c r="T76" s="4"/>
      <c r="U76" s="4">
        <f t="shared" si="13"/>
        <v>7340</v>
      </c>
      <c r="V76" s="5"/>
      <c r="W76" s="5"/>
    </row>
    <row r="77" spans="1:23" ht="15.75" customHeight="1">
      <c r="A77" s="33"/>
      <c r="B77" s="41" t="s">
        <v>88</v>
      </c>
      <c r="C77" s="58"/>
      <c r="D77" s="42"/>
      <c r="E77" s="43">
        <f>50000+110000</f>
        <v>160000</v>
      </c>
      <c r="F77" s="40"/>
      <c r="G77" s="44">
        <v>30981.5</v>
      </c>
      <c r="H77" s="40"/>
      <c r="I77" s="40"/>
      <c r="J77" s="40"/>
      <c r="K77" s="40"/>
      <c r="L77" s="44">
        <v>31536.62</v>
      </c>
      <c r="M77" s="44"/>
      <c r="N77" s="40">
        <f>1700+29260.1+29260.1</f>
        <v>60220.2</v>
      </c>
      <c r="O77" s="44"/>
      <c r="P77" s="44"/>
      <c r="Q77" s="46"/>
      <c r="R77" s="40"/>
      <c r="S77" s="47">
        <f t="shared" si="23"/>
        <v>37261.680000000008</v>
      </c>
      <c r="T77" s="4"/>
      <c r="U77" s="4">
        <f t="shared" si="13"/>
        <v>122738.31999999999</v>
      </c>
      <c r="V77" s="5"/>
      <c r="W77" s="5"/>
    </row>
    <row r="78" spans="1:23" ht="15.75" customHeight="1">
      <c r="A78" s="33"/>
      <c r="B78" s="41" t="s">
        <v>89</v>
      </c>
      <c r="C78" s="58"/>
      <c r="D78" s="42"/>
      <c r="E78" s="43">
        <v>10000</v>
      </c>
      <c r="F78" s="40"/>
      <c r="G78" s="40"/>
      <c r="H78" s="40"/>
      <c r="I78" s="44">
        <v>1100</v>
      </c>
      <c r="J78" s="40"/>
      <c r="K78" s="40"/>
      <c r="L78" s="40"/>
      <c r="M78" s="44"/>
      <c r="N78" s="40"/>
      <c r="O78" s="40"/>
      <c r="P78" s="40"/>
      <c r="Q78" s="46"/>
      <c r="R78" s="40"/>
      <c r="S78" s="47">
        <f>10000-F78-G78-H78-I78-J78-K78-L78-M78-N78-O78-P78-Q78</f>
        <v>8900</v>
      </c>
      <c r="T78" s="4"/>
      <c r="U78" s="4">
        <f t="shared" si="13"/>
        <v>1100</v>
      </c>
      <c r="V78" s="5"/>
      <c r="W78" s="5"/>
    </row>
    <row r="79" spans="1:23" ht="15.75" customHeight="1">
      <c r="A79" s="33"/>
      <c r="B79" s="41" t="s">
        <v>90</v>
      </c>
      <c r="C79" s="58"/>
      <c r="D79" s="42"/>
      <c r="E79" s="43">
        <v>20000</v>
      </c>
      <c r="F79" s="40">
        <f>480</f>
        <v>480</v>
      </c>
      <c r="G79" s="40"/>
      <c r="H79" s="40">
        <f>2000</f>
        <v>2000</v>
      </c>
      <c r="I79" s="40">
        <f>2400</f>
        <v>2400</v>
      </c>
      <c r="J79" s="40"/>
      <c r="K79" s="40"/>
      <c r="L79" s="40"/>
      <c r="M79" s="44"/>
      <c r="N79" s="44">
        <v>3500</v>
      </c>
      <c r="O79" s="44"/>
      <c r="P79" s="44"/>
      <c r="Q79" s="46"/>
      <c r="R79" s="40"/>
      <c r="S79" s="47">
        <f>20000-F79-G79-H79-I79-J79-K79-L79-M79-N79-O79-P79-Q79</f>
        <v>11620</v>
      </c>
      <c r="T79" s="4"/>
      <c r="U79" s="4">
        <f t="shared" si="13"/>
        <v>8380</v>
      </c>
      <c r="V79" s="5"/>
      <c r="W79" s="5"/>
    </row>
    <row r="80" spans="1:23" ht="15.75" customHeight="1">
      <c r="A80" s="33"/>
      <c r="B80" s="41" t="s">
        <v>91</v>
      </c>
      <c r="C80" s="58"/>
      <c r="D80" s="42"/>
      <c r="E80" s="43">
        <f>20000+45000</f>
        <v>65000</v>
      </c>
      <c r="F80" s="40"/>
      <c r="G80" s="40">
        <f>11000</f>
        <v>11000</v>
      </c>
      <c r="H80" s="40"/>
      <c r="I80" s="40">
        <f>31500</f>
        <v>31500</v>
      </c>
      <c r="J80" s="44">
        <v>8150</v>
      </c>
      <c r="K80" s="40"/>
      <c r="L80" s="40"/>
      <c r="M80" s="44"/>
      <c r="N80" s="40"/>
      <c r="O80" s="40"/>
      <c r="P80" s="44"/>
      <c r="Q80" s="46"/>
      <c r="R80" s="40"/>
      <c r="S80" s="47">
        <f>E80-F80-G80-H80-I80-J80-K80-L80-M80-N80-O80-P80-Q80</f>
        <v>14350</v>
      </c>
      <c r="T80" s="4"/>
      <c r="U80" s="4">
        <f t="shared" si="13"/>
        <v>50650</v>
      </c>
      <c r="V80" s="5"/>
      <c r="W80" s="5"/>
    </row>
    <row r="81" spans="1:23" ht="15.75" customHeight="1">
      <c r="A81" s="33"/>
      <c r="B81" s="41" t="s">
        <v>92</v>
      </c>
      <c r="C81" s="58"/>
      <c r="D81" s="57"/>
      <c r="E81" s="43"/>
      <c r="F81" s="40"/>
      <c r="G81" s="40"/>
      <c r="H81" s="40"/>
      <c r="I81" s="40"/>
      <c r="J81" s="40"/>
      <c r="K81" s="40"/>
      <c r="L81" s="40"/>
      <c r="M81" s="44"/>
      <c r="N81" s="40"/>
      <c r="O81" s="40"/>
      <c r="P81" s="40"/>
      <c r="Q81" s="46"/>
      <c r="R81" s="40"/>
      <c r="S81" s="47"/>
      <c r="T81" s="4"/>
      <c r="U81" s="4">
        <f t="shared" si="13"/>
        <v>0</v>
      </c>
      <c r="V81" s="5"/>
      <c r="W81" s="5"/>
    </row>
    <row r="82" spans="1:23" ht="15.75" customHeight="1">
      <c r="A82" s="33"/>
      <c r="B82" s="41"/>
      <c r="C82" s="58" t="s">
        <v>93</v>
      </c>
      <c r="D82" s="42"/>
      <c r="E82" s="43">
        <v>50000</v>
      </c>
      <c r="F82" s="40"/>
      <c r="G82" s="40"/>
      <c r="H82" s="40"/>
      <c r="I82" s="40">
        <f>7800</f>
        <v>7800</v>
      </c>
      <c r="J82" s="44">
        <v>2000.4</v>
      </c>
      <c r="K82" s="44">
        <v>5940</v>
      </c>
      <c r="L82" s="44"/>
      <c r="M82" s="44">
        <v>3880</v>
      </c>
      <c r="N82" s="44">
        <v>7420</v>
      </c>
      <c r="O82" s="40"/>
      <c r="P82" s="40"/>
      <c r="Q82" s="46"/>
      <c r="R82" s="40"/>
      <c r="S82" s="47">
        <f t="shared" ref="S82:S83" si="24">E82-F82-G82-H82-I82-J82-K82-L82-M82-N82-O82-P82-Q82</f>
        <v>22959.599999999999</v>
      </c>
      <c r="T82" s="4"/>
      <c r="U82" s="4">
        <f t="shared" si="13"/>
        <v>27040.400000000001</v>
      </c>
      <c r="V82" s="5"/>
      <c r="W82" s="5"/>
    </row>
    <row r="83" spans="1:23" ht="15.75" customHeight="1">
      <c r="A83" s="33"/>
      <c r="B83" s="41"/>
      <c r="C83" s="58" t="s">
        <v>94</v>
      </c>
      <c r="D83" s="42"/>
      <c r="E83" s="43">
        <f>20000+20000+15000</f>
        <v>55000</v>
      </c>
      <c r="F83" s="40"/>
      <c r="G83" s="44">
        <v>3768</v>
      </c>
      <c r="H83" s="40"/>
      <c r="I83" s="40">
        <f>11530</f>
        <v>11530</v>
      </c>
      <c r="J83" s="40"/>
      <c r="K83" s="40"/>
      <c r="L83" s="44">
        <v>28670</v>
      </c>
      <c r="M83" s="44"/>
      <c r="N83" s="40"/>
      <c r="O83" s="44"/>
      <c r="P83" s="40"/>
      <c r="Q83" s="46"/>
      <c r="R83" s="40"/>
      <c r="S83" s="47">
        <f t="shared" si="24"/>
        <v>11032</v>
      </c>
      <c r="T83" s="4"/>
      <c r="U83" s="4">
        <f t="shared" si="13"/>
        <v>43968</v>
      </c>
      <c r="V83" s="5"/>
      <c r="W83" s="5"/>
    </row>
    <row r="84" spans="1:23" ht="15.75" customHeight="1">
      <c r="A84" s="33"/>
      <c r="B84" s="62" t="s">
        <v>95</v>
      </c>
      <c r="C84" s="58"/>
      <c r="D84" s="57">
        <v>1090000</v>
      </c>
      <c r="E84" s="43"/>
      <c r="F84" s="40"/>
      <c r="G84" s="40"/>
      <c r="H84" s="40"/>
      <c r="I84" s="40"/>
      <c r="J84" s="40"/>
      <c r="K84" s="40"/>
      <c r="L84" s="40"/>
      <c r="M84" s="44"/>
      <c r="N84" s="40"/>
      <c r="O84" s="40"/>
      <c r="P84" s="40"/>
      <c r="Q84" s="46"/>
      <c r="R84" s="40"/>
      <c r="S84" s="47"/>
      <c r="T84" s="4"/>
      <c r="U84" s="4">
        <f t="shared" si="13"/>
        <v>0</v>
      </c>
      <c r="V84" s="5"/>
      <c r="W84" s="5"/>
    </row>
    <row r="85" spans="1:23" ht="15.75" customHeight="1">
      <c r="A85" s="33"/>
      <c r="B85" s="64" t="s">
        <v>96</v>
      </c>
      <c r="C85" s="58"/>
      <c r="D85" s="42"/>
      <c r="E85" s="43">
        <f>180000-30000</f>
        <v>150000</v>
      </c>
      <c r="F85" s="40">
        <f>14082.82</f>
        <v>14082.82</v>
      </c>
      <c r="G85" s="40">
        <f>16422.65</f>
        <v>16422.650000000001</v>
      </c>
      <c r="H85" s="44">
        <v>12166.15</v>
      </c>
      <c r="I85" s="40">
        <f>7942.69</f>
        <v>7942.69</v>
      </c>
      <c r="J85" s="40">
        <f>10037.35</f>
        <v>10037.35</v>
      </c>
      <c r="K85" s="44">
        <v>10036.629999999999</v>
      </c>
      <c r="L85" s="40">
        <f>1092.81</f>
        <v>1092.81</v>
      </c>
      <c r="M85" s="44">
        <f>211.98</f>
        <v>211.98</v>
      </c>
      <c r="N85" s="40">
        <f>18533.54</f>
        <v>18533.54</v>
      </c>
      <c r="O85" s="44">
        <f>18783.42</f>
        <v>18783.419999999998</v>
      </c>
      <c r="P85" s="44"/>
      <c r="Q85" s="46"/>
      <c r="R85" s="40"/>
      <c r="S85" s="47">
        <f t="shared" ref="S85:S89" si="25">E85-F85-G85-H85-I85-J85-K85-L85-M85-N85-O85-P85-Q85</f>
        <v>40689.96</v>
      </c>
      <c r="T85" s="4"/>
      <c r="U85" s="4">
        <f t="shared" si="13"/>
        <v>109310.04</v>
      </c>
      <c r="V85" s="5"/>
      <c r="W85" s="5"/>
    </row>
    <row r="86" spans="1:23" ht="15.75" customHeight="1">
      <c r="A86" s="33"/>
      <c r="B86" s="41" t="s">
        <v>97</v>
      </c>
      <c r="C86" s="58"/>
      <c r="D86" s="42"/>
      <c r="E86" s="43">
        <f>1000000-15000</f>
        <v>985000</v>
      </c>
      <c r="F86" s="40">
        <f>67183.95</f>
        <v>67183.95</v>
      </c>
      <c r="G86" s="40">
        <f>81074.33</f>
        <v>81074.33</v>
      </c>
      <c r="H86" s="40">
        <f>73141.8</f>
        <v>73141.8</v>
      </c>
      <c r="I86" s="40">
        <f>75363.38</f>
        <v>75363.38</v>
      </c>
      <c r="J86" s="44">
        <v>79153.210000000006</v>
      </c>
      <c r="K86" s="44">
        <v>64367.49</v>
      </c>
      <c r="L86" s="40">
        <f>13598.87+45985.92</f>
        <v>59584.79</v>
      </c>
      <c r="M86" s="44">
        <f>40919.38+55770.27</f>
        <v>96689.65</v>
      </c>
      <c r="N86" s="40">
        <f>6400.77</f>
        <v>6400.77</v>
      </c>
      <c r="O86" s="44">
        <f>75925.05</f>
        <v>75925.05</v>
      </c>
      <c r="P86" s="44"/>
      <c r="Q86" s="46"/>
      <c r="R86" s="40"/>
      <c r="S86" s="47">
        <f t="shared" si="25"/>
        <v>306115.58000000013</v>
      </c>
      <c r="T86" s="4"/>
      <c r="U86" s="4">
        <f t="shared" si="13"/>
        <v>678884.42</v>
      </c>
      <c r="V86" s="5"/>
      <c r="W86" s="5"/>
    </row>
    <row r="87" spans="1:23" ht="15.75" customHeight="1">
      <c r="A87" s="33"/>
      <c r="B87" s="64" t="s">
        <v>98</v>
      </c>
      <c r="C87" s="58"/>
      <c r="D87" s="42"/>
      <c r="E87" s="43">
        <v>20000</v>
      </c>
      <c r="F87" s="40">
        <f>324.21</f>
        <v>324.20999999999998</v>
      </c>
      <c r="G87" s="40">
        <f>99.72+4.71+324.21+3.21+145.09</f>
        <v>576.93999999999994</v>
      </c>
      <c r="H87" s="40">
        <f>327.42</f>
        <v>327.42</v>
      </c>
      <c r="I87" s="40">
        <f>324.21+126.26+6.42</f>
        <v>456.89</v>
      </c>
      <c r="J87" s="44">
        <f>137.17+8.56+324.21</f>
        <v>469.93999999999994</v>
      </c>
      <c r="K87" s="40">
        <f>6.85+84.74+1312+321</f>
        <v>1724.59</v>
      </c>
      <c r="L87" s="44">
        <f>9.2+121.13+329.42+11.98+172.48</f>
        <v>644.21</v>
      </c>
      <c r="M87" s="44">
        <f>321</f>
        <v>321</v>
      </c>
      <c r="N87" s="40">
        <f>26.54+868.31</f>
        <v>894.84999999999991</v>
      </c>
      <c r="O87" s="44">
        <f>4.28+112.14</f>
        <v>116.42</v>
      </c>
      <c r="P87" s="40"/>
      <c r="Q87" s="46"/>
      <c r="R87" s="40"/>
      <c r="S87" s="47">
        <f t="shared" si="25"/>
        <v>14143.530000000006</v>
      </c>
      <c r="T87" s="4"/>
      <c r="U87" s="4">
        <f t="shared" si="13"/>
        <v>5856.4699999999993</v>
      </c>
      <c r="V87" s="5"/>
      <c r="W87" s="5"/>
    </row>
    <row r="88" spans="1:23" ht="15.75" customHeight="1">
      <c r="A88" s="33"/>
      <c r="B88" s="41" t="s">
        <v>99</v>
      </c>
      <c r="C88" s="58"/>
      <c r="D88" s="42"/>
      <c r="E88" s="43">
        <v>10000</v>
      </c>
      <c r="F88" s="40"/>
      <c r="G88" s="40"/>
      <c r="H88" s="40"/>
      <c r="I88" s="44">
        <v>292</v>
      </c>
      <c r="J88" s="40"/>
      <c r="K88" s="40"/>
      <c r="L88" s="40"/>
      <c r="M88" s="44"/>
      <c r="N88" s="44">
        <v>144</v>
      </c>
      <c r="O88" s="40"/>
      <c r="P88" s="40"/>
      <c r="Q88" s="46"/>
      <c r="R88" s="40"/>
      <c r="S88" s="47">
        <f t="shared" si="25"/>
        <v>9564</v>
      </c>
      <c r="T88" s="4"/>
      <c r="U88" s="4">
        <f t="shared" si="13"/>
        <v>436</v>
      </c>
      <c r="V88" s="5"/>
      <c r="W88" s="5"/>
    </row>
    <row r="89" spans="1:23" ht="15.75" customHeight="1">
      <c r="A89" s="33"/>
      <c r="B89" s="33" t="s">
        <v>100</v>
      </c>
      <c r="C89" s="65"/>
      <c r="D89" s="50"/>
      <c r="E89" s="36">
        <f>25000+15000</f>
        <v>40000</v>
      </c>
      <c r="F89" s="37">
        <f>1605</f>
        <v>1605</v>
      </c>
      <c r="G89" s="37">
        <f>1112.8+1605+1076.42</f>
        <v>3794.2200000000003</v>
      </c>
      <c r="H89" s="37">
        <f>1605+1133.13</f>
        <v>2738.13</v>
      </c>
      <c r="I89" s="37">
        <f>1605</f>
        <v>1605</v>
      </c>
      <c r="J89" s="37">
        <f>1075.35+1605</f>
        <v>2680.35</v>
      </c>
      <c r="K89" s="37">
        <f>1197.33+1605</f>
        <v>2802.33</v>
      </c>
      <c r="L89" s="37">
        <f>1605+1140.62</f>
        <v>2745.62</v>
      </c>
      <c r="M89" s="51">
        <f>1605+1065.72</f>
        <v>2670.7200000000003</v>
      </c>
      <c r="N89" s="37">
        <f>1605+1150+6000</f>
        <v>8755</v>
      </c>
      <c r="O89" s="51"/>
      <c r="P89" s="37"/>
      <c r="Q89" s="38"/>
      <c r="R89" s="37"/>
      <c r="S89" s="47">
        <f t="shared" si="25"/>
        <v>10603.630000000001</v>
      </c>
      <c r="T89" s="4"/>
      <c r="U89" s="4">
        <f t="shared" si="13"/>
        <v>29396.370000000003</v>
      </c>
      <c r="V89" s="5"/>
      <c r="W89" s="5"/>
    </row>
    <row r="90" spans="1:23" ht="15.75" customHeight="1">
      <c r="A90" s="28" t="s">
        <v>101</v>
      </c>
      <c r="B90" s="29"/>
      <c r="C90" s="29"/>
      <c r="D90" s="29">
        <v>150000</v>
      </c>
      <c r="E90" s="30"/>
      <c r="F90" s="29"/>
      <c r="G90" s="29"/>
      <c r="H90" s="29"/>
      <c r="I90" s="29"/>
      <c r="J90" s="29"/>
      <c r="K90" s="29"/>
      <c r="L90" s="29"/>
      <c r="M90" s="66"/>
      <c r="N90" s="29"/>
      <c r="O90" s="29"/>
      <c r="P90" s="29"/>
      <c r="Q90" s="31"/>
      <c r="R90" s="29"/>
      <c r="S90" s="32"/>
      <c r="T90" s="4"/>
      <c r="U90" s="4">
        <f t="shared" si="13"/>
        <v>0</v>
      </c>
      <c r="V90" s="5"/>
      <c r="W90" s="5"/>
    </row>
    <row r="91" spans="1:23" ht="15.75" customHeight="1">
      <c r="A91" s="33"/>
      <c r="B91" s="67" t="s">
        <v>102</v>
      </c>
      <c r="C91" s="65"/>
      <c r="D91" s="35"/>
      <c r="E91" s="36"/>
      <c r="F91" s="37"/>
      <c r="G91" s="37"/>
      <c r="H91" s="37"/>
      <c r="I91" s="37"/>
      <c r="J91" s="37"/>
      <c r="K91" s="37"/>
      <c r="L91" s="37"/>
      <c r="M91" s="51"/>
      <c r="N91" s="37"/>
      <c r="O91" s="37"/>
      <c r="P91" s="37"/>
      <c r="Q91" s="38"/>
      <c r="R91" s="37"/>
      <c r="S91" s="39"/>
      <c r="T91" s="4"/>
      <c r="U91" s="4">
        <f t="shared" si="13"/>
        <v>0</v>
      </c>
      <c r="V91" s="5"/>
      <c r="W91" s="5"/>
    </row>
    <row r="92" spans="1:23" ht="15.75" customHeight="1">
      <c r="A92" s="33"/>
      <c r="B92" s="41"/>
      <c r="C92" s="60" t="s">
        <v>103</v>
      </c>
      <c r="D92" s="57"/>
      <c r="E92" s="43"/>
      <c r="F92" s="40"/>
      <c r="G92" s="40"/>
      <c r="H92" s="40"/>
      <c r="I92" s="40"/>
      <c r="J92" s="40"/>
      <c r="K92" s="40"/>
      <c r="L92" s="40"/>
      <c r="M92" s="44"/>
      <c r="N92" s="40"/>
      <c r="O92" s="40"/>
      <c r="P92" s="40"/>
      <c r="Q92" s="46"/>
      <c r="R92" s="40"/>
      <c r="S92" s="47"/>
      <c r="T92" s="4"/>
      <c r="U92" s="4">
        <f t="shared" si="13"/>
        <v>0</v>
      </c>
      <c r="V92" s="5"/>
      <c r="W92" s="5"/>
    </row>
    <row r="93" spans="1:23" ht="15.75" customHeight="1">
      <c r="A93" s="33"/>
      <c r="B93" s="41" t="s">
        <v>104</v>
      </c>
      <c r="C93" s="58"/>
      <c r="D93" s="42"/>
      <c r="E93" s="43"/>
      <c r="F93" s="40"/>
      <c r="G93" s="40"/>
      <c r="H93" s="40"/>
      <c r="I93" s="40"/>
      <c r="J93" s="40"/>
      <c r="K93" s="40"/>
      <c r="L93" s="40"/>
      <c r="M93" s="44"/>
      <c r="N93" s="40"/>
      <c r="O93" s="40"/>
      <c r="P93" s="40"/>
      <c r="Q93" s="46"/>
      <c r="R93" s="40"/>
      <c r="S93" s="47"/>
      <c r="T93" s="4"/>
      <c r="U93" s="4">
        <f t="shared" si="13"/>
        <v>0</v>
      </c>
      <c r="V93" s="5"/>
      <c r="W93" s="5"/>
    </row>
    <row r="94" spans="1:23" ht="15.75" customHeight="1">
      <c r="A94" s="33"/>
      <c r="B94" s="41"/>
      <c r="C94" s="59" t="s">
        <v>105</v>
      </c>
      <c r="D94" s="42"/>
      <c r="E94" s="43">
        <v>5500</v>
      </c>
      <c r="F94" s="40"/>
      <c r="G94" s="40"/>
      <c r="H94" s="68"/>
      <c r="I94" s="40"/>
      <c r="J94" s="40"/>
      <c r="K94" s="40"/>
      <c r="L94" s="40"/>
      <c r="M94" s="44"/>
      <c r="N94" s="40"/>
      <c r="O94" s="40"/>
      <c r="P94" s="40"/>
      <c r="Q94" s="46"/>
      <c r="R94" s="40"/>
      <c r="S94" s="47">
        <f>5500-F94-G94-H94-I94-J94-K94-L94-M94-N94-O94-P94-Q94</f>
        <v>5500</v>
      </c>
      <c r="T94" s="4"/>
      <c r="U94" s="4">
        <f t="shared" si="13"/>
        <v>0</v>
      </c>
      <c r="V94" s="5"/>
      <c r="W94" s="5"/>
    </row>
    <row r="95" spans="1:23" ht="15.75" customHeight="1">
      <c r="A95" s="33"/>
      <c r="B95" s="41"/>
      <c r="C95" s="59" t="s">
        <v>106</v>
      </c>
      <c r="D95" s="42"/>
      <c r="E95" s="69">
        <v>10000</v>
      </c>
      <c r="F95" s="68"/>
      <c r="G95" s="68"/>
      <c r="H95" s="68"/>
      <c r="I95" s="68"/>
      <c r="J95" s="68"/>
      <c r="K95" s="68"/>
      <c r="L95" s="68"/>
      <c r="M95" s="70"/>
      <c r="N95" s="68"/>
      <c r="O95" s="70"/>
      <c r="P95" s="68"/>
      <c r="Q95" s="71"/>
      <c r="R95" s="40"/>
      <c r="S95" s="61">
        <v>10000</v>
      </c>
      <c r="T95" s="4"/>
      <c r="U95" s="4">
        <f t="shared" si="13"/>
        <v>0</v>
      </c>
      <c r="V95" s="5"/>
      <c r="W95" s="5"/>
    </row>
    <row r="96" spans="1:23" ht="15.75" customHeight="1">
      <c r="A96" s="33"/>
      <c r="B96" s="72"/>
      <c r="C96" s="73" t="s">
        <v>107</v>
      </c>
      <c r="D96" s="42"/>
      <c r="E96" s="69">
        <v>64800</v>
      </c>
      <c r="F96" s="68"/>
      <c r="G96" s="68"/>
      <c r="H96" s="68"/>
      <c r="I96" s="68"/>
      <c r="J96" s="68"/>
      <c r="K96" s="68"/>
      <c r="L96" s="68"/>
      <c r="M96" s="70"/>
      <c r="N96" s="68"/>
      <c r="O96" s="70"/>
      <c r="P96" s="68"/>
      <c r="Q96" s="71"/>
      <c r="R96" s="40"/>
      <c r="S96" s="61">
        <f t="shared" ref="S96:S98" si="26">E96-F96-G96-H96-I96-J96-K96-L96-M96-N96-O96-P96-Q96</f>
        <v>64800</v>
      </c>
      <c r="T96" s="4"/>
      <c r="U96" s="4"/>
      <c r="V96" s="5"/>
      <c r="W96" s="5"/>
    </row>
    <row r="97" spans="1:23" ht="15.75" customHeight="1">
      <c r="A97" s="74">
        <v>4</v>
      </c>
      <c r="B97" s="72"/>
      <c r="C97" s="73" t="s">
        <v>108</v>
      </c>
      <c r="D97" s="42"/>
      <c r="E97" s="69">
        <f>17000+7100+17000+7100+10000+7100</f>
        <v>65300</v>
      </c>
      <c r="F97" s="68"/>
      <c r="G97" s="68"/>
      <c r="H97" s="68"/>
      <c r="I97" s="68"/>
      <c r="J97" s="68"/>
      <c r="K97" s="70">
        <v>65300</v>
      </c>
      <c r="L97" s="68"/>
      <c r="M97" s="70"/>
      <c r="N97" s="68"/>
      <c r="O97" s="70"/>
      <c r="P97" s="68"/>
      <c r="Q97" s="71"/>
      <c r="R97" s="40"/>
      <c r="S97" s="61">
        <f t="shared" si="26"/>
        <v>0</v>
      </c>
      <c r="T97" s="4"/>
      <c r="U97" s="4"/>
      <c r="V97" s="5"/>
      <c r="W97" s="5"/>
    </row>
    <row r="98" spans="1:23" ht="15.75" customHeight="1">
      <c r="A98" s="74"/>
      <c r="B98" s="72"/>
      <c r="C98" s="73" t="s">
        <v>109</v>
      </c>
      <c r="D98" s="73" t="s">
        <v>109</v>
      </c>
      <c r="E98" s="69">
        <f>2500+2500+5200+2500</f>
        <v>12700</v>
      </c>
      <c r="F98" s="68"/>
      <c r="G98" s="68"/>
      <c r="H98" s="68"/>
      <c r="I98" s="68"/>
      <c r="J98" s="68"/>
      <c r="K98" s="68"/>
      <c r="L98" s="68"/>
      <c r="M98" s="70"/>
      <c r="N98" s="68"/>
      <c r="O98" s="70"/>
      <c r="P98" s="68"/>
      <c r="Q98" s="71"/>
      <c r="R98" s="40"/>
      <c r="S98" s="61">
        <f t="shared" si="26"/>
        <v>12700</v>
      </c>
      <c r="T98" s="4"/>
      <c r="U98" s="4"/>
      <c r="V98" s="5"/>
      <c r="W98" s="5"/>
    </row>
    <row r="99" spans="1:23" ht="15.75" customHeight="1">
      <c r="A99" s="74"/>
      <c r="B99" s="72"/>
      <c r="C99" s="73" t="s">
        <v>110</v>
      </c>
      <c r="D99" s="42"/>
      <c r="E99" s="69">
        <v>10000</v>
      </c>
      <c r="F99" s="68"/>
      <c r="G99" s="68"/>
      <c r="H99" s="68"/>
      <c r="I99" s="68"/>
      <c r="J99" s="68"/>
      <c r="K99" s="68"/>
      <c r="L99" s="68"/>
      <c r="M99" s="70"/>
      <c r="N99" s="68"/>
      <c r="O99" s="70"/>
      <c r="P99" s="68"/>
      <c r="Q99" s="71"/>
      <c r="R99" s="40"/>
      <c r="S99" s="61">
        <v>10000</v>
      </c>
      <c r="T99" s="4"/>
      <c r="U99" s="4"/>
      <c r="V99" s="5"/>
      <c r="W99" s="5"/>
    </row>
    <row r="100" spans="1:23" ht="15.75" customHeight="1">
      <c r="A100" s="33"/>
      <c r="B100" s="75" t="s">
        <v>111</v>
      </c>
      <c r="C100" s="76"/>
      <c r="D100" s="42"/>
      <c r="E100" s="77"/>
      <c r="F100" s="40"/>
      <c r="G100" s="40"/>
      <c r="H100" s="68"/>
      <c r="I100" s="40"/>
      <c r="J100" s="40"/>
      <c r="K100" s="40"/>
      <c r="L100" s="40"/>
      <c r="M100" s="44"/>
      <c r="N100" s="40"/>
      <c r="O100" s="40"/>
      <c r="P100" s="40"/>
      <c r="Q100" s="46"/>
      <c r="R100" s="40"/>
      <c r="S100" s="47"/>
      <c r="T100" s="4"/>
      <c r="U100" s="4">
        <f>SUM(F100:Q100)</f>
        <v>0</v>
      </c>
      <c r="V100" s="5"/>
      <c r="W100" s="5"/>
    </row>
    <row r="101" spans="1:23" ht="15.75" customHeight="1">
      <c r="A101" s="78"/>
      <c r="B101" s="79"/>
      <c r="C101" s="80" t="s">
        <v>112</v>
      </c>
      <c r="D101" s="81"/>
      <c r="E101" s="43">
        <f>7100-7100</f>
        <v>0</v>
      </c>
      <c r="F101" s="57"/>
      <c r="G101" s="49"/>
      <c r="H101" s="49"/>
      <c r="I101" s="49"/>
      <c r="J101" s="49"/>
      <c r="K101" s="49"/>
      <c r="L101" s="49"/>
      <c r="M101" s="82"/>
      <c r="N101" s="49"/>
      <c r="O101" s="82"/>
      <c r="P101" s="49"/>
      <c r="Q101" s="83"/>
      <c r="R101" s="34"/>
      <c r="S101" s="47">
        <f>E101-F101-G101-H101-I101-J101-K101-L101-M101-N101-O101-P101-Q101</f>
        <v>0</v>
      </c>
      <c r="T101" s="4"/>
      <c r="U101" s="4"/>
      <c r="V101" s="5"/>
      <c r="W101" s="5"/>
    </row>
    <row r="102" spans="1:23" ht="15.75" customHeight="1">
      <c r="A102" s="78"/>
      <c r="B102" s="79"/>
      <c r="C102" s="80" t="s">
        <v>113</v>
      </c>
      <c r="D102" s="81"/>
      <c r="E102" s="43">
        <v>17000</v>
      </c>
      <c r="F102" s="57"/>
      <c r="G102" s="49"/>
      <c r="H102" s="49"/>
      <c r="I102" s="49"/>
      <c r="J102" s="49"/>
      <c r="K102" s="49"/>
      <c r="L102" s="49"/>
      <c r="M102" s="82"/>
      <c r="N102" s="49"/>
      <c r="O102" s="82"/>
      <c r="P102" s="49"/>
      <c r="Q102" s="83"/>
      <c r="R102" s="34"/>
      <c r="S102" s="47">
        <f>17000-F102-G102-H102-I102-J102-K102-L102-M102-N102-O102-P102-Q102</f>
        <v>17000</v>
      </c>
      <c r="T102" s="4"/>
      <c r="U102" s="4"/>
      <c r="V102" s="5"/>
      <c r="W102" s="5"/>
    </row>
    <row r="103" spans="1:23" ht="15.75" customHeight="1">
      <c r="A103" s="78"/>
      <c r="B103" s="79"/>
      <c r="C103" s="80" t="s">
        <v>114</v>
      </c>
      <c r="D103" s="81"/>
      <c r="E103" s="43">
        <f>2500-2500</f>
        <v>0</v>
      </c>
      <c r="F103" s="57"/>
      <c r="G103" s="49"/>
      <c r="H103" s="49"/>
      <c r="I103" s="49"/>
      <c r="J103" s="49"/>
      <c r="K103" s="49"/>
      <c r="L103" s="49"/>
      <c r="M103" s="82"/>
      <c r="N103" s="49"/>
      <c r="O103" s="82"/>
      <c r="P103" s="49"/>
      <c r="Q103" s="83"/>
      <c r="R103" s="34"/>
      <c r="S103" s="47">
        <f>E103-F103-G103-H103-I103-J103-K103-L103-M103-N103-O103-P103-Q103</f>
        <v>0</v>
      </c>
      <c r="T103" s="4"/>
      <c r="U103" s="4"/>
      <c r="V103" s="5"/>
      <c r="W103" s="5"/>
    </row>
    <row r="104" spans="1:23" ht="15.75" customHeight="1">
      <c r="A104" s="78"/>
      <c r="B104" s="84" t="s">
        <v>115</v>
      </c>
      <c r="C104" s="8"/>
      <c r="D104" s="81"/>
      <c r="E104" s="43"/>
      <c r="F104" s="57"/>
      <c r="G104" s="49"/>
      <c r="H104" s="49"/>
      <c r="I104" s="49"/>
      <c r="J104" s="49"/>
      <c r="K104" s="49"/>
      <c r="L104" s="49"/>
      <c r="M104" s="82"/>
      <c r="N104" s="49"/>
      <c r="O104" s="82"/>
      <c r="P104" s="49"/>
      <c r="Q104" s="83"/>
      <c r="R104" s="34"/>
      <c r="S104" s="47"/>
      <c r="T104" s="4"/>
      <c r="U104" s="4">
        <f t="shared" ref="U104:U107" si="27">SUM(F104:Q104)</f>
        <v>0</v>
      </c>
      <c r="V104" s="5"/>
      <c r="W104" s="5"/>
    </row>
    <row r="105" spans="1:23" ht="15.75" customHeight="1">
      <c r="A105" s="78"/>
      <c r="B105" s="85"/>
      <c r="C105" s="86" t="s">
        <v>116</v>
      </c>
      <c r="D105" s="63"/>
      <c r="E105" s="43">
        <f>65000+100000</f>
        <v>165000</v>
      </c>
      <c r="F105" s="49"/>
      <c r="G105" s="49"/>
      <c r="H105" s="49"/>
      <c r="I105" s="49"/>
      <c r="J105" s="49"/>
      <c r="K105" s="49"/>
      <c r="L105" s="49"/>
      <c r="M105" s="82"/>
      <c r="N105" s="49"/>
      <c r="O105" s="49"/>
      <c r="P105" s="49"/>
      <c r="Q105" s="83"/>
      <c r="R105" s="81"/>
      <c r="S105" s="47">
        <f>E105-F105-G105-H105-I105-J105-K105-L105-M105-N105-O105-P105-Q105</f>
        <v>165000</v>
      </c>
      <c r="T105" s="4"/>
      <c r="U105" s="4">
        <f t="shared" si="27"/>
        <v>0</v>
      </c>
      <c r="V105" s="5"/>
      <c r="W105" s="5"/>
    </row>
    <row r="106" spans="1:23" ht="15.75" customHeight="1">
      <c r="A106" s="78"/>
      <c r="B106" s="74" t="s">
        <v>117</v>
      </c>
      <c r="C106" s="87"/>
      <c r="D106" s="63"/>
      <c r="E106" s="77"/>
      <c r="F106" s="49"/>
      <c r="G106" s="49"/>
      <c r="H106" s="49"/>
      <c r="I106" s="49"/>
      <c r="J106" s="49"/>
      <c r="K106" s="49"/>
      <c r="L106" s="49"/>
      <c r="M106" s="82"/>
      <c r="N106" s="49"/>
      <c r="O106" s="49"/>
      <c r="P106" s="49"/>
      <c r="Q106" s="83"/>
      <c r="R106" s="81"/>
      <c r="S106" s="47"/>
      <c r="T106" s="4"/>
      <c r="U106" s="4">
        <f t="shared" si="27"/>
        <v>0</v>
      </c>
      <c r="V106" s="5"/>
      <c r="W106" s="5"/>
    </row>
    <row r="107" spans="1:23" ht="15.75" customHeight="1">
      <c r="A107" s="78"/>
      <c r="B107" s="67"/>
      <c r="C107" s="86" t="s">
        <v>118</v>
      </c>
      <c r="D107" s="63"/>
      <c r="E107" s="36">
        <v>868000</v>
      </c>
      <c r="F107" s="34"/>
      <c r="G107" s="34"/>
      <c r="H107" s="34"/>
      <c r="I107" s="34"/>
      <c r="J107" s="51">
        <v>789700</v>
      </c>
      <c r="K107" s="34"/>
      <c r="L107" s="34"/>
      <c r="M107" s="88"/>
      <c r="N107" s="34"/>
      <c r="O107" s="34"/>
      <c r="P107" s="34"/>
      <c r="Q107" s="89"/>
      <c r="R107" s="81"/>
      <c r="S107" s="90">
        <f>868000-F107-G107-H107-I107-J107-K107-L107-M107-N107-O107-P107-Q107</f>
        <v>78300</v>
      </c>
      <c r="T107" s="4"/>
      <c r="U107" s="4">
        <f t="shared" si="27"/>
        <v>789700</v>
      </c>
      <c r="V107" s="5"/>
      <c r="W107" s="5"/>
    </row>
    <row r="108" spans="1:23" ht="15.75" customHeight="1">
      <c r="A108" s="78"/>
      <c r="B108" s="64" t="s">
        <v>119</v>
      </c>
      <c r="C108" s="91"/>
      <c r="D108" s="92"/>
      <c r="E108" s="93"/>
      <c r="F108" s="49"/>
      <c r="G108" s="49"/>
      <c r="H108" s="49"/>
      <c r="I108" s="49"/>
      <c r="J108" s="49"/>
      <c r="K108" s="49"/>
      <c r="L108" s="49"/>
      <c r="M108" s="82"/>
      <c r="N108" s="49"/>
      <c r="O108" s="49"/>
      <c r="P108" s="49"/>
      <c r="Q108" s="83"/>
      <c r="R108" s="81"/>
      <c r="S108" s="90"/>
      <c r="T108" s="4"/>
      <c r="U108" s="4"/>
      <c r="V108" s="5"/>
      <c r="W108" s="5"/>
    </row>
    <row r="109" spans="1:23" ht="15.75" customHeight="1">
      <c r="A109" s="78"/>
      <c r="B109" s="94"/>
      <c r="C109" s="86" t="s">
        <v>120</v>
      </c>
      <c r="D109" s="95"/>
      <c r="E109" s="69">
        <v>50000</v>
      </c>
      <c r="F109" s="96"/>
      <c r="G109" s="70"/>
      <c r="H109" s="70"/>
      <c r="I109" s="70"/>
      <c r="J109" s="68"/>
      <c r="K109" s="96"/>
      <c r="L109" s="70"/>
      <c r="M109" s="97"/>
      <c r="N109" s="96"/>
      <c r="O109" s="96"/>
      <c r="P109" s="96"/>
      <c r="Q109" s="98"/>
      <c r="R109" s="81"/>
      <c r="S109" s="99">
        <f t="shared" ref="S109:S110" si="28">E109-F109-G109-H109-I109-J109-K109-L109-M109-N109-O109-P109-Q109</f>
        <v>50000</v>
      </c>
      <c r="T109" s="4"/>
      <c r="U109" s="4"/>
      <c r="V109" s="5"/>
      <c r="W109" s="5"/>
    </row>
    <row r="110" spans="1:23" ht="15.75" customHeight="1">
      <c r="A110" s="78"/>
      <c r="B110" s="94"/>
      <c r="C110" s="86" t="s">
        <v>121</v>
      </c>
      <c r="D110" s="95"/>
      <c r="E110" s="69">
        <v>120000</v>
      </c>
      <c r="F110" s="96"/>
      <c r="G110" s="96"/>
      <c r="H110" s="96"/>
      <c r="I110" s="96"/>
      <c r="J110" s="96"/>
      <c r="K110" s="96"/>
      <c r="L110" s="70">
        <v>120000</v>
      </c>
      <c r="M110" s="97"/>
      <c r="N110" s="96"/>
      <c r="O110" s="96"/>
      <c r="P110" s="96"/>
      <c r="Q110" s="98"/>
      <c r="R110" s="81"/>
      <c r="S110" s="99">
        <f t="shared" si="28"/>
        <v>0</v>
      </c>
      <c r="T110" s="4"/>
      <c r="U110" s="4"/>
      <c r="V110" s="5"/>
      <c r="W110" s="5"/>
    </row>
    <row r="111" spans="1:23" ht="15.75" customHeight="1">
      <c r="A111" s="78"/>
      <c r="B111" s="62"/>
      <c r="C111" s="100" t="s">
        <v>122</v>
      </c>
      <c r="D111" s="92"/>
      <c r="E111" s="93"/>
      <c r="F111" s="49"/>
      <c r="G111" s="49"/>
      <c r="H111" s="49"/>
      <c r="I111" s="49"/>
      <c r="J111" s="49"/>
      <c r="K111" s="49"/>
      <c r="L111" s="49"/>
      <c r="M111" s="82"/>
      <c r="N111" s="49"/>
      <c r="O111" s="49"/>
      <c r="P111" s="49"/>
      <c r="Q111" s="83"/>
      <c r="R111" s="81"/>
      <c r="S111" s="47"/>
      <c r="T111" s="4"/>
      <c r="U111" s="4"/>
      <c r="V111" s="5"/>
      <c r="W111" s="5"/>
    </row>
    <row r="112" spans="1:23" ht="15.75" customHeight="1">
      <c r="A112" s="78"/>
      <c r="B112" s="62"/>
      <c r="C112" s="59" t="s">
        <v>123</v>
      </c>
      <c r="D112" s="92"/>
      <c r="E112" s="43">
        <v>200000</v>
      </c>
      <c r="F112" s="49"/>
      <c r="G112" s="49"/>
      <c r="H112" s="49"/>
      <c r="I112" s="49"/>
      <c r="J112" s="49"/>
      <c r="K112" s="49"/>
      <c r="L112" s="49"/>
      <c r="M112" s="82"/>
      <c r="N112" s="49"/>
      <c r="O112" s="49"/>
      <c r="P112" s="49"/>
      <c r="Q112" s="83"/>
      <c r="R112" s="81"/>
      <c r="S112" s="47">
        <f t="shared" ref="S112:S113" si="29">200000-F112-G112-H112-I112-J112-K112-L112-M112-N112-O112-P112-Q112</f>
        <v>200000</v>
      </c>
      <c r="T112" s="4"/>
      <c r="U112" s="4"/>
      <c r="V112" s="5"/>
      <c r="W112" s="5"/>
    </row>
    <row r="113" spans="1:23" ht="15.75" customHeight="1">
      <c r="A113" s="78"/>
      <c r="B113" s="101"/>
      <c r="C113" s="102" t="s">
        <v>124</v>
      </c>
      <c r="D113" s="103"/>
      <c r="E113" s="104">
        <v>200000</v>
      </c>
      <c r="F113" s="105"/>
      <c r="G113" s="105"/>
      <c r="H113" s="105"/>
      <c r="I113" s="105"/>
      <c r="J113" s="105"/>
      <c r="K113" s="105"/>
      <c r="L113" s="105"/>
      <c r="M113" s="106"/>
      <c r="N113" s="105"/>
      <c r="O113" s="105"/>
      <c r="P113" s="105"/>
      <c r="Q113" s="107"/>
      <c r="R113" s="81"/>
      <c r="S113" s="90">
        <f t="shared" si="29"/>
        <v>200000</v>
      </c>
      <c r="T113" s="4"/>
      <c r="U113" s="4"/>
      <c r="V113" s="5"/>
      <c r="W113" s="5"/>
    </row>
    <row r="114" spans="1:23" ht="15.75" customHeight="1">
      <c r="A114" s="78"/>
      <c r="B114" s="108"/>
      <c r="C114" s="109" t="s">
        <v>125</v>
      </c>
      <c r="D114" s="110"/>
      <c r="E114" s="111">
        <v>400000</v>
      </c>
      <c r="F114" s="112"/>
      <c r="G114" s="112"/>
      <c r="H114" s="112"/>
      <c r="I114" s="112"/>
      <c r="J114" s="112"/>
      <c r="K114" s="112"/>
      <c r="L114" s="112"/>
      <c r="M114" s="113"/>
      <c r="N114" s="112"/>
      <c r="O114" s="112"/>
      <c r="P114" s="112"/>
      <c r="Q114" s="114"/>
      <c r="R114" s="108"/>
      <c r="S114" s="115">
        <f t="shared" ref="S114:S116" si="30">E114-F114-G114-H114-I114-J114-K114-L114-M114-N114-O114-P114-Q114</f>
        <v>400000</v>
      </c>
      <c r="T114" s="4"/>
      <c r="U114" s="4"/>
      <c r="V114" s="5"/>
      <c r="W114" s="5"/>
    </row>
    <row r="115" spans="1:23" ht="15.75" customHeight="1">
      <c r="A115" s="78"/>
      <c r="B115" s="108"/>
      <c r="C115" s="116" t="s">
        <v>126</v>
      </c>
      <c r="D115" s="110"/>
      <c r="E115" s="117">
        <v>80000</v>
      </c>
      <c r="F115" s="32"/>
      <c r="G115" s="112"/>
      <c r="H115" s="112"/>
      <c r="I115" s="112"/>
      <c r="J115" s="112"/>
      <c r="K115" s="112"/>
      <c r="L115" s="112"/>
      <c r="M115" s="113"/>
      <c r="N115" s="112"/>
      <c r="O115" s="112"/>
      <c r="P115" s="112"/>
      <c r="Q115" s="118"/>
      <c r="R115" s="108"/>
      <c r="S115" s="115">
        <f t="shared" si="30"/>
        <v>80000</v>
      </c>
      <c r="T115" s="4"/>
      <c r="U115" s="4"/>
      <c r="V115" s="5"/>
      <c r="W115" s="5"/>
    </row>
    <row r="116" spans="1:23" ht="15.75" customHeight="1">
      <c r="A116" s="78"/>
      <c r="B116" s="112"/>
      <c r="C116" s="116" t="s">
        <v>127</v>
      </c>
      <c r="D116" s="112"/>
      <c r="E116" s="117">
        <v>100000</v>
      </c>
      <c r="F116" s="112"/>
      <c r="G116" s="112"/>
      <c r="H116" s="112"/>
      <c r="I116" s="112"/>
      <c r="J116" s="112"/>
      <c r="K116" s="112"/>
      <c r="L116" s="112"/>
      <c r="M116" s="113"/>
      <c r="N116" s="112"/>
      <c r="O116" s="112"/>
      <c r="P116" s="112"/>
      <c r="Q116" s="114"/>
      <c r="R116" s="112"/>
      <c r="S116" s="115">
        <f t="shared" si="30"/>
        <v>100000</v>
      </c>
      <c r="T116" s="4"/>
      <c r="U116" s="4"/>
      <c r="V116" s="5"/>
      <c r="W116" s="5"/>
    </row>
    <row r="117" spans="1:23" ht="15.75" customHeight="1">
      <c r="A117" s="28" t="s">
        <v>128</v>
      </c>
      <c r="B117" s="110"/>
      <c r="C117" s="110"/>
      <c r="D117" s="110">
        <v>60000</v>
      </c>
      <c r="E117" s="119"/>
      <c r="F117" s="110"/>
      <c r="G117" s="110"/>
      <c r="H117" s="110"/>
      <c r="I117" s="110"/>
      <c r="J117" s="110"/>
      <c r="K117" s="110"/>
      <c r="L117" s="110"/>
      <c r="M117" s="120"/>
      <c r="N117" s="110"/>
      <c r="O117" s="110"/>
      <c r="P117" s="110"/>
      <c r="Q117" s="121"/>
      <c r="R117" s="108"/>
      <c r="S117" s="115"/>
      <c r="T117" s="4"/>
      <c r="U117" s="4">
        <f t="shared" ref="U117:U170" si="31">SUM(F117:Q117)</f>
        <v>0</v>
      </c>
      <c r="V117" s="5"/>
      <c r="W117" s="5"/>
    </row>
    <row r="118" spans="1:23" ht="15.75" customHeight="1">
      <c r="A118" s="33"/>
      <c r="B118" s="37" t="s">
        <v>129</v>
      </c>
      <c r="C118" s="33"/>
      <c r="D118" s="56"/>
      <c r="E118" s="36"/>
      <c r="F118" s="37"/>
      <c r="G118" s="37"/>
      <c r="H118" s="37"/>
      <c r="I118" s="37"/>
      <c r="J118" s="37"/>
      <c r="K118" s="37"/>
      <c r="L118" s="37"/>
      <c r="M118" s="51"/>
      <c r="N118" s="37"/>
      <c r="O118" s="37"/>
      <c r="P118" s="37"/>
      <c r="Q118" s="38"/>
      <c r="R118" s="37"/>
      <c r="S118" s="39"/>
      <c r="T118" s="4"/>
      <c r="U118" s="4">
        <f t="shared" si="31"/>
        <v>0</v>
      </c>
      <c r="V118" s="5"/>
      <c r="W118" s="5"/>
    </row>
    <row r="119" spans="1:23" ht="15.75" customHeight="1">
      <c r="A119" s="33"/>
      <c r="B119" s="41"/>
      <c r="C119" s="58" t="s">
        <v>130</v>
      </c>
      <c r="D119" s="42"/>
      <c r="E119" s="43">
        <v>30000</v>
      </c>
      <c r="F119" s="40"/>
      <c r="G119" s="40"/>
      <c r="H119" s="40"/>
      <c r="I119" s="40"/>
      <c r="J119" s="40"/>
      <c r="K119" s="40"/>
      <c r="L119" s="40"/>
      <c r="M119" s="44"/>
      <c r="N119" s="40"/>
      <c r="O119" s="44"/>
      <c r="P119" s="40"/>
      <c r="Q119" s="46"/>
      <c r="R119" s="40"/>
      <c r="S119" s="47">
        <f>30000-F119-G119-H119-I119-J119-K119-L119-M119-N119-O119-P119-Q119</f>
        <v>30000</v>
      </c>
      <c r="T119" s="4"/>
      <c r="U119" s="4">
        <f t="shared" si="31"/>
        <v>0</v>
      </c>
      <c r="V119" s="5"/>
      <c r="W119" s="5"/>
    </row>
    <row r="120" spans="1:23" ht="15.75" customHeight="1">
      <c r="A120" s="33"/>
      <c r="B120" s="41"/>
      <c r="C120" s="58" t="s">
        <v>131</v>
      </c>
      <c r="D120" s="42"/>
      <c r="E120" s="43">
        <v>10000</v>
      </c>
      <c r="F120" s="40"/>
      <c r="G120" s="40"/>
      <c r="H120" s="40"/>
      <c r="I120" s="40"/>
      <c r="J120" s="40"/>
      <c r="K120" s="40"/>
      <c r="L120" s="40"/>
      <c r="M120" s="44"/>
      <c r="N120" s="40"/>
      <c r="O120" s="40"/>
      <c r="P120" s="40"/>
      <c r="Q120" s="46"/>
      <c r="R120" s="40"/>
      <c r="S120" s="47">
        <f t="shared" ref="S120:S121" si="32">10000-F120-G120-H120-I120-J120-K120-L120-M120-N120-O120-P120-Q120</f>
        <v>10000</v>
      </c>
      <c r="T120" s="4"/>
      <c r="U120" s="4">
        <f t="shared" si="31"/>
        <v>0</v>
      </c>
      <c r="V120" s="5"/>
      <c r="W120" s="5"/>
    </row>
    <row r="121" spans="1:23" ht="15.75" customHeight="1" thickBot="1">
      <c r="A121" s="122"/>
      <c r="B121" s="33"/>
      <c r="C121" s="65" t="s">
        <v>132</v>
      </c>
      <c r="D121" s="123"/>
      <c r="E121" s="36">
        <v>10000</v>
      </c>
      <c r="F121" s="37"/>
      <c r="G121" s="37"/>
      <c r="H121" s="37"/>
      <c r="I121" s="37"/>
      <c r="J121" s="37"/>
      <c r="K121" s="37"/>
      <c r="L121" s="37"/>
      <c r="M121" s="51"/>
      <c r="N121" s="37"/>
      <c r="O121" s="37"/>
      <c r="P121" s="37"/>
      <c r="Q121" s="38"/>
      <c r="R121" s="37"/>
      <c r="S121" s="47">
        <f t="shared" si="32"/>
        <v>10000</v>
      </c>
      <c r="T121" s="4"/>
      <c r="U121" s="4">
        <f t="shared" si="31"/>
        <v>0</v>
      </c>
      <c r="V121" s="5"/>
      <c r="W121" s="5"/>
    </row>
    <row r="122" spans="1:23" ht="19.5" customHeight="1" thickTop="1" thickBot="1">
      <c r="A122" s="124" t="s">
        <v>133</v>
      </c>
      <c r="B122" s="125"/>
      <c r="C122" s="125"/>
      <c r="D122" s="126"/>
      <c r="E122" s="127">
        <f t="shared" ref="E122:L122" si="33">SUM(E8:E121)</f>
        <v>14431300</v>
      </c>
      <c r="F122" s="128">
        <f t="shared" si="33"/>
        <v>643937.97999999986</v>
      </c>
      <c r="G122" s="128">
        <f t="shared" si="33"/>
        <v>793277.6399999999</v>
      </c>
      <c r="H122" s="128">
        <f t="shared" si="33"/>
        <v>916254.50000000012</v>
      </c>
      <c r="I122" s="128">
        <f t="shared" si="33"/>
        <v>913027.96</v>
      </c>
      <c r="J122" s="128">
        <f t="shared" si="33"/>
        <v>1735720.25</v>
      </c>
      <c r="K122" s="128">
        <f t="shared" si="33"/>
        <v>1175807.0400000003</v>
      </c>
      <c r="L122" s="128">
        <f t="shared" si="33"/>
        <v>960505.29</v>
      </c>
      <c r="M122" s="129">
        <f>SUM(M8:M20,M24:M121)</f>
        <v>696218.35</v>
      </c>
      <c r="N122" s="128">
        <f t="shared" ref="N122:S122" si="34">SUM(N8:N121)</f>
        <v>766919.36</v>
      </c>
      <c r="O122" s="128">
        <f t="shared" si="34"/>
        <v>156208.89000000001</v>
      </c>
      <c r="P122" s="128">
        <f t="shared" si="34"/>
        <v>0</v>
      </c>
      <c r="Q122" s="128">
        <f t="shared" si="34"/>
        <v>0</v>
      </c>
      <c r="R122" s="128">
        <f t="shared" si="34"/>
        <v>0</v>
      </c>
      <c r="S122" s="130">
        <f t="shared" si="34"/>
        <v>5673422.7400000002</v>
      </c>
      <c r="T122" s="131">
        <f>F122+G122+H122+I122+J122+K122+L122+M122+N122+O122+P122+Q122+S122</f>
        <v>14431300</v>
      </c>
      <c r="U122" s="4">
        <f t="shared" si="31"/>
        <v>8757877.2599999998</v>
      </c>
      <c r="V122" s="5"/>
      <c r="W122" s="5"/>
    </row>
    <row r="123" spans="1:23" ht="30.75" customHeight="1" thickTop="1">
      <c r="A123" s="132"/>
      <c r="B123" s="132"/>
      <c r="C123" s="132"/>
      <c r="D123" s="132"/>
      <c r="E123" s="133"/>
      <c r="F123" s="132"/>
      <c r="G123" s="132"/>
      <c r="H123" s="132"/>
      <c r="I123" s="132"/>
      <c r="J123" s="132"/>
      <c r="K123" s="132"/>
      <c r="L123" s="132"/>
      <c r="M123" s="134" t="s">
        <v>134</v>
      </c>
      <c r="N123" s="132"/>
      <c r="O123" s="132"/>
      <c r="P123" s="132"/>
      <c r="Q123" s="133"/>
      <c r="R123" s="132"/>
      <c r="S123" s="132"/>
      <c r="T123" s="4"/>
      <c r="U123" s="4">
        <f t="shared" si="31"/>
        <v>0</v>
      </c>
      <c r="V123" s="5"/>
      <c r="W123" s="5"/>
    </row>
    <row r="124" spans="1:23" ht="24.75" customHeight="1">
      <c r="A124" s="135" t="s">
        <v>135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26"/>
      <c r="U124" s="4">
        <f t="shared" si="31"/>
        <v>0</v>
      </c>
      <c r="V124" s="5"/>
      <c r="W124" s="5"/>
    </row>
    <row r="125" spans="1:23" ht="15.75" customHeight="1">
      <c r="A125" s="17"/>
      <c r="B125" s="18"/>
      <c r="C125" s="18"/>
      <c r="D125" s="19"/>
      <c r="E125" s="20" t="s">
        <v>2</v>
      </c>
      <c r="F125" s="21" t="s">
        <v>3</v>
      </c>
      <c r="G125" s="21" t="s">
        <v>4</v>
      </c>
      <c r="H125" s="21" t="s">
        <v>5</v>
      </c>
      <c r="I125" s="21" t="s">
        <v>6</v>
      </c>
      <c r="J125" s="21" t="s">
        <v>7</v>
      </c>
      <c r="K125" s="21" t="s">
        <v>8</v>
      </c>
      <c r="L125" s="22" t="s">
        <v>9</v>
      </c>
      <c r="M125" s="21" t="s">
        <v>136</v>
      </c>
      <c r="N125" s="22" t="s">
        <v>11</v>
      </c>
      <c r="O125" s="21" t="s">
        <v>12</v>
      </c>
      <c r="P125" s="23" t="s">
        <v>13</v>
      </c>
      <c r="Q125" s="23" t="s">
        <v>14</v>
      </c>
      <c r="R125" s="21"/>
      <c r="S125" s="136" t="s">
        <v>15</v>
      </c>
      <c r="T125" s="4"/>
      <c r="U125" s="4">
        <f t="shared" si="31"/>
        <v>0</v>
      </c>
      <c r="V125" s="27"/>
      <c r="W125" s="27"/>
    </row>
    <row r="126" spans="1:23" ht="15.75" customHeight="1">
      <c r="A126" s="137" t="s">
        <v>134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9"/>
      <c r="T126" s="4"/>
      <c r="U126" s="4">
        <f t="shared" si="31"/>
        <v>0</v>
      </c>
      <c r="V126" s="5"/>
      <c r="W126" s="5"/>
    </row>
    <row r="127" spans="1:23" ht="15.75" customHeight="1">
      <c r="A127" s="33"/>
      <c r="B127" s="34" t="s">
        <v>25</v>
      </c>
      <c r="C127" s="33"/>
      <c r="D127" s="56">
        <v>1140000</v>
      </c>
      <c r="E127" s="36"/>
      <c r="F127" s="37"/>
      <c r="G127" s="37"/>
      <c r="H127" s="37"/>
      <c r="I127" s="37"/>
      <c r="J127" s="37"/>
      <c r="K127" s="37"/>
      <c r="L127" s="37"/>
      <c r="M127" s="51"/>
      <c r="N127" s="138"/>
      <c r="O127" s="138"/>
      <c r="P127" s="138"/>
      <c r="Q127" s="139"/>
      <c r="R127" s="138"/>
      <c r="S127" s="140"/>
      <c r="T127" s="4"/>
      <c r="U127" s="4">
        <f t="shared" si="31"/>
        <v>0</v>
      </c>
      <c r="V127" s="5"/>
      <c r="W127" s="5"/>
    </row>
    <row r="128" spans="1:23" ht="15.75" customHeight="1">
      <c r="A128" s="33"/>
      <c r="B128" s="40" t="s">
        <v>137</v>
      </c>
      <c r="C128" s="41"/>
      <c r="D128" s="42"/>
      <c r="E128" s="43">
        <f>500000-40000</f>
        <v>460000</v>
      </c>
      <c r="F128" s="44">
        <v>33000</v>
      </c>
      <c r="G128" s="44">
        <v>33000</v>
      </c>
      <c r="H128" s="44">
        <v>33000</v>
      </c>
      <c r="I128" s="44">
        <v>33000</v>
      </c>
      <c r="J128" s="44">
        <v>33000</v>
      </c>
      <c r="K128" s="44">
        <v>33000</v>
      </c>
      <c r="L128" s="44">
        <v>33560</v>
      </c>
      <c r="M128" s="44">
        <v>33560</v>
      </c>
      <c r="N128" s="44">
        <v>33560</v>
      </c>
      <c r="O128" s="44"/>
      <c r="P128" s="44"/>
      <c r="Q128" s="46"/>
      <c r="R128" s="40"/>
      <c r="S128" s="47">
        <f>E128-F128-G128-H128-I128-J128-K128-L128-M128-N128-O128-P128-Q128</f>
        <v>161320</v>
      </c>
      <c r="T128" s="4"/>
      <c r="U128" s="4">
        <f t="shared" si="31"/>
        <v>298680</v>
      </c>
      <c r="V128" s="5"/>
      <c r="W128" s="5"/>
    </row>
    <row r="129" spans="1:23" ht="15.75" customHeight="1">
      <c r="A129" s="33"/>
      <c r="B129" s="40" t="s">
        <v>138</v>
      </c>
      <c r="C129" s="41"/>
      <c r="D129" s="42"/>
      <c r="E129" s="43">
        <v>42000</v>
      </c>
      <c r="F129" s="44">
        <v>3500</v>
      </c>
      <c r="G129" s="44">
        <v>3500</v>
      </c>
      <c r="H129" s="44">
        <v>3500</v>
      </c>
      <c r="I129" s="44">
        <v>3500</v>
      </c>
      <c r="J129" s="44">
        <v>3500</v>
      </c>
      <c r="K129" s="44">
        <v>3500</v>
      </c>
      <c r="L129" s="44">
        <v>3500</v>
      </c>
      <c r="M129" s="44">
        <v>3500</v>
      </c>
      <c r="N129" s="44">
        <v>3500</v>
      </c>
      <c r="O129" s="44"/>
      <c r="P129" s="44"/>
      <c r="Q129" s="46"/>
      <c r="R129" s="40"/>
      <c r="S129" s="47">
        <f>42000-F129-G129-H129-I129-J129-K129-L129-M129-N129-O129-P129-Q129</f>
        <v>10500</v>
      </c>
      <c r="T129" s="4"/>
      <c r="U129" s="4">
        <f t="shared" si="31"/>
        <v>31500</v>
      </c>
      <c r="V129" s="5"/>
      <c r="W129" s="5"/>
    </row>
    <row r="130" spans="1:23" ht="15.75" customHeight="1">
      <c r="A130" s="33"/>
      <c r="B130" s="40" t="s">
        <v>139</v>
      </c>
      <c r="C130" s="41"/>
      <c r="D130" s="42"/>
      <c r="E130" s="43">
        <v>220000</v>
      </c>
      <c r="F130" s="44">
        <v>18480</v>
      </c>
      <c r="G130" s="44">
        <v>18480</v>
      </c>
      <c r="H130" s="44">
        <v>18480</v>
      </c>
      <c r="I130" s="44">
        <v>18480</v>
      </c>
      <c r="J130" s="44">
        <v>18480</v>
      </c>
      <c r="K130" s="44">
        <v>18480</v>
      </c>
      <c r="L130" s="44">
        <v>18790</v>
      </c>
      <c r="M130" s="44">
        <v>18790</v>
      </c>
      <c r="N130" s="44">
        <v>18790</v>
      </c>
      <c r="O130" s="44"/>
      <c r="P130" s="44"/>
      <c r="Q130" s="46"/>
      <c r="R130" s="40"/>
      <c r="S130" s="47">
        <f t="shared" ref="S130:S132" si="35">E130-F130-G130-H130-I130-J130-K130-L130-M130-N130-O130-P130-Q130</f>
        <v>52750</v>
      </c>
      <c r="T130" s="4"/>
      <c r="U130" s="4">
        <f t="shared" si="31"/>
        <v>167250</v>
      </c>
      <c r="V130" s="5"/>
      <c r="W130" s="5"/>
    </row>
    <row r="131" spans="1:23" ht="15.75" customHeight="1">
      <c r="A131" s="33"/>
      <c r="B131" s="40" t="s">
        <v>140</v>
      </c>
      <c r="C131" s="41"/>
      <c r="D131" s="42"/>
      <c r="E131" s="43">
        <v>500000</v>
      </c>
      <c r="F131" s="44">
        <v>14090</v>
      </c>
      <c r="G131" s="44">
        <v>14090</v>
      </c>
      <c r="H131" s="44">
        <v>28590</v>
      </c>
      <c r="I131" s="44">
        <v>28590</v>
      </c>
      <c r="J131" s="44">
        <v>29090</v>
      </c>
      <c r="K131" s="44">
        <v>29090</v>
      </c>
      <c r="L131" s="44">
        <v>29090</v>
      </c>
      <c r="M131" s="44">
        <v>29090</v>
      </c>
      <c r="N131" s="44">
        <v>40590</v>
      </c>
      <c r="O131" s="44"/>
      <c r="P131" s="44"/>
      <c r="Q131" s="46"/>
      <c r="R131" s="40"/>
      <c r="S131" s="47">
        <f t="shared" si="35"/>
        <v>257690</v>
      </c>
      <c r="T131" s="4"/>
      <c r="U131" s="4">
        <f t="shared" si="31"/>
        <v>242310</v>
      </c>
      <c r="V131" s="5"/>
      <c r="W131" s="5"/>
    </row>
    <row r="132" spans="1:23" ht="15.75" customHeight="1">
      <c r="A132" s="33"/>
      <c r="B132" s="141" t="s">
        <v>141</v>
      </c>
      <c r="C132" s="142"/>
      <c r="D132" s="50"/>
      <c r="E132" s="143">
        <f>20000-10000</f>
        <v>10000</v>
      </c>
      <c r="F132" s="141"/>
      <c r="G132" s="141"/>
      <c r="H132" s="141"/>
      <c r="I132" s="141"/>
      <c r="J132" s="141"/>
      <c r="K132" s="141"/>
      <c r="L132" s="141"/>
      <c r="M132" s="144"/>
      <c r="N132" s="144">
        <v>1785</v>
      </c>
      <c r="O132" s="144"/>
      <c r="P132" s="141"/>
      <c r="Q132" s="145"/>
      <c r="R132" s="141"/>
      <c r="S132" s="47">
        <f t="shared" si="35"/>
        <v>8215</v>
      </c>
      <c r="T132" s="4"/>
      <c r="U132" s="4">
        <f t="shared" si="31"/>
        <v>1785</v>
      </c>
      <c r="V132" s="5"/>
      <c r="W132" s="5"/>
    </row>
    <row r="133" spans="1:23" ht="15.75" customHeight="1">
      <c r="A133" s="52" t="s">
        <v>142</v>
      </c>
      <c r="B133" s="53"/>
      <c r="C133" s="53"/>
      <c r="D133" s="53"/>
      <c r="E133" s="54"/>
      <c r="F133" s="55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9"/>
      <c r="T133" s="4"/>
      <c r="U133" s="4">
        <f t="shared" si="31"/>
        <v>0</v>
      </c>
      <c r="V133" s="5"/>
      <c r="W133" s="5"/>
    </row>
    <row r="134" spans="1:23" ht="15.75" customHeight="1">
      <c r="A134" s="33"/>
      <c r="B134" s="34" t="s">
        <v>33</v>
      </c>
      <c r="C134" s="33"/>
      <c r="D134" s="56">
        <v>130000</v>
      </c>
      <c r="E134" s="36"/>
      <c r="F134" s="37"/>
      <c r="G134" s="37"/>
      <c r="H134" s="37"/>
      <c r="I134" s="37"/>
      <c r="J134" s="37"/>
      <c r="K134" s="37"/>
      <c r="L134" s="37"/>
      <c r="M134" s="51"/>
      <c r="N134" s="138"/>
      <c r="O134" s="138"/>
      <c r="P134" s="138"/>
      <c r="Q134" s="139"/>
      <c r="R134" s="138"/>
      <c r="S134" s="140"/>
      <c r="T134" s="4"/>
      <c r="U134" s="4">
        <f t="shared" si="31"/>
        <v>0</v>
      </c>
      <c r="V134" s="5"/>
      <c r="W134" s="5"/>
    </row>
    <row r="135" spans="1:23" ht="15.75" customHeight="1">
      <c r="A135" s="33"/>
      <c r="B135" s="40" t="s">
        <v>143</v>
      </c>
      <c r="C135" s="41"/>
      <c r="D135" s="42"/>
      <c r="E135" s="43">
        <f>30000-30000</f>
        <v>0</v>
      </c>
      <c r="F135" s="40"/>
      <c r="G135" s="40"/>
      <c r="H135" s="40"/>
      <c r="I135" s="40"/>
      <c r="J135" s="40"/>
      <c r="K135" s="40"/>
      <c r="L135" s="40"/>
      <c r="M135" s="44"/>
      <c r="N135" s="40"/>
      <c r="O135" s="40"/>
      <c r="P135" s="40"/>
      <c r="Q135" s="46"/>
      <c r="R135" s="40"/>
      <c r="S135" s="47">
        <f>E135-F135-G135-H135-I135-J135-K135-L135-M135-N135-O135-P135-Q135</f>
        <v>0</v>
      </c>
      <c r="T135" s="4"/>
      <c r="U135" s="4">
        <f t="shared" si="31"/>
        <v>0</v>
      </c>
      <c r="V135" s="5"/>
      <c r="W135" s="5"/>
    </row>
    <row r="136" spans="1:23" ht="15.75" customHeight="1">
      <c r="A136" s="33"/>
      <c r="B136" s="40" t="s">
        <v>144</v>
      </c>
      <c r="C136" s="41"/>
      <c r="D136" s="42"/>
      <c r="E136" s="43">
        <v>10000</v>
      </c>
      <c r="F136" s="40"/>
      <c r="G136" s="40"/>
      <c r="H136" s="40"/>
      <c r="I136" s="40"/>
      <c r="J136" s="40"/>
      <c r="K136" s="40"/>
      <c r="L136" s="40"/>
      <c r="M136" s="44"/>
      <c r="N136" s="40"/>
      <c r="O136" s="40"/>
      <c r="P136" s="40"/>
      <c r="Q136" s="46"/>
      <c r="R136" s="40"/>
      <c r="S136" s="47">
        <f>10000-F136-G136-H136-I136-J136-K136-L136-M136-N136-O136-P136-Q136</f>
        <v>10000</v>
      </c>
      <c r="T136" s="4"/>
      <c r="U136" s="4">
        <f t="shared" si="31"/>
        <v>0</v>
      </c>
      <c r="V136" s="5"/>
      <c r="W136" s="5"/>
    </row>
    <row r="137" spans="1:23" ht="15.75" customHeight="1">
      <c r="A137" s="33"/>
      <c r="B137" s="40" t="s">
        <v>145</v>
      </c>
      <c r="C137" s="41"/>
      <c r="D137" s="42"/>
      <c r="E137" s="43">
        <v>30000</v>
      </c>
      <c r="F137" s="40"/>
      <c r="G137" s="40"/>
      <c r="H137" s="40"/>
      <c r="I137" s="40">
        <f>7000</f>
        <v>7000</v>
      </c>
      <c r="J137" s="40"/>
      <c r="K137" s="40"/>
      <c r="L137" s="40"/>
      <c r="M137" s="44"/>
      <c r="N137" s="40"/>
      <c r="O137" s="40"/>
      <c r="P137" s="40"/>
      <c r="Q137" s="46"/>
      <c r="R137" s="40"/>
      <c r="S137" s="47">
        <f>30000-F137-G137-H137-I137-J137-K137-L137-M137-N137-O137-P137-Q137</f>
        <v>23000</v>
      </c>
      <c r="T137" s="4"/>
      <c r="U137" s="4">
        <f t="shared" si="31"/>
        <v>7000</v>
      </c>
      <c r="V137" s="5"/>
      <c r="W137" s="5"/>
    </row>
    <row r="138" spans="1:23" ht="15.75" customHeight="1">
      <c r="A138" s="33"/>
      <c r="B138" s="62" t="s">
        <v>38</v>
      </c>
      <c r="C138" s="62"/>
      <c r="D138" s="57"/>
      <c r="E138" s="93"/>
      <c r="F138" s="49"/>
      <c r="G138" s="49"/>
      <c r="H138" s="49"/>
      <c r="I138" s="49"/>
      <c r="J138" s="49"/>
      <c r="K138" s="49"/>
      <c r="L138" s="49"/>
      <c r="M138" s="82"/>
      <c r="N138" s="49"/>
      <c r="O138" s="49"/>
      <c r="P138" s="49"/>
      <c r="Q138" s="83"/>
      <c r="R138" s="49"/>
      <c r="S138" s="47"/>
      <c r="T138" s="4"/>
      <c r="U138" s="4">
        <f t="shared" si="31"/>
        <v>0</v>
      </c>
      <c r="V138" s="5"/>
      <c r="W138" s="5"/>
    </row>
    <row r="139" spans="1:23" ht="15.75" customHeight="1">
      <c r="A139" s="33"/>
      <c r="B139" s="40" t="s">
        <v>146</v>
      </c>
      <c r="C139" s="41"/>
      <c r="D139" s="57">
        <v>266000</v>
      </c>
      <c r="E139" s="43"/>
      <c r="F139" s="40"/>
      <c r="G139" s="40"/>
      <c r="H139" s="40"/>
      <c r="I139" s="40"/>
      <c r="J139" s="40"/>
      <c r="K139" s="40"/>
      <c r="L139" s="40"/>
      <c r="M139" s="44"/>
      <c r="N139" s="40"/>
      <c r="O139" s="40"/>
      <c r="P139" s="40"/>
      <c r="Q139" s="46"/>
      <c r="R139" s="40"/>
      <c r="S139" s="47"/>
      <c r="T139" s="4"/>
      <c r="U139" s="4">
        <f t="shared" si="31"/>
        <v>0</v>
      </c>
      <c r="V139" s="5"/>
      <c r="W139" s="5"/>
    </row>
    <row r="140" spans="1:23" ht="15.75" customHeight="1">
      <c r="A140" s="33"/>
      <c r="B140" s="41"/>
      <c r="C140" s="58" t="s">
        <v>40</v>
      </c>
      <c r="D140" s="42"/>
      <c r="E140" s="43">
        <v>30000</v>
      </c>
      <c r="F140" s="40"/>
      <c r="G140" s="40"/>
      <c r="H140" s="40"/>
      <c r="I140" s="40"/>
      <c r="J140" s="40"/>
      <c r="K140" s="40"/>
      <c r="L140" s="40"/>
      <c r="M140" s="44"/>
      <c r="N140" s="40"/>
      <c r="O140" s="40"/>
      <c r="P140" s="44"/>
      <c r="Q140" s="46"/>
      <c r="R140" s="40"/>
      <c r="S140" s="47">
        <f>30000-F140-G140-H140-I140-J140-K140-L140-M140-N140-O140-P140-Q140</f>
        <v>30000</v>
      </c>
      <c r="T140" s="4"/>
      <c r="U140" s="4">
        <f t="shared" si="31"/>
        <v>0</v>
      </c>
      <c r="V140" s="5"/>
      <c r="W140" s="5"/>
    </row>
    <row r="141" spans="1:23" ht="15.75" customHeight="1">
      <c r="A141" s="33"/>
      <c r="B141" s="41"/>
      <c r="C141" s="59" t="s">
        <v>147</v>
      </c>
      <c r="D141" s="42"/>
      <c r="E141" s="43">
        <v>108000</v>
      </c>
      <c r="F141" s="40"/>
      <c r="G141" s="40">
        <f t="shared" ref="G141:G142" si="36">9000</f>
        <v>9000</v>
      </c>
      <c r="H141" s="40">
        <f t="shared" ref="H141:H142" si="37">9000+9000</f>
        <v>18000</v>
      </c>
      <c r="I141" s="40"/>
      <c r="J141" s="40">
        <f t="shared" ref="J141:K141" si="38">9000</f>
        <v>9000</v>
      </c>
      <c r="K141" s="40">
        <f t="shared" si="38"/>
        <v>9000</v>
      </c>
      <c r="L141" s="44">
        <f t="shared" ref="L141:L142" si="39">9000+9000</f>
        <v>18000</v>
      </c>
      <c r="M141" s="44"/>
      <c r="N141" s="40">
        <f t="shared" ref="N141:N142" si="40">9000</f>
        <v>9000</v>
      </c>
      <c r="O141" s="44">
        <v>9000</v>
      </c>
      <c r="P141" s="44"/>
      <c r="Q141" s="46"/>
      <c r="R141" s="40"/>
      <c r="S141" s="47">
        <f t="shared" ref="S141:S142" si="41">108000-F141-G141-H141-I141-J141-K141-L141-M141-N141-O141-P141-Q141</f>
        <v>27000</v>
      </c>
      <c r="T141" s="4"/>
      <c r="U141" s="4">
        <f t="shared" si="31"/>
        <v>81000</v>
      </c>
      <c r="V141" s="5"/>
      <c r="W141" s="5"/>
    </row>
    <row r="142" spans="1:23" ht="15.75" customHeight="1">
      <c r="A142" s="33"/>
      <c r="B142" s="41"/>
      <c r="C142" s="59" t="s">
        <v>148</v>
      </c>
      <c r="D142" s="42"/>
      <c r="E142" s="43">
        <v>108000</v>
      </c>
      <c r="F142" s="40"/>
      <c r="G142" s="40">
        <f t="shared" si="36"/>
        <v>9000</v>
      </c>
      <c r="H142" s="40">
        <f t="shared" si="37"/>
        <v>18000</v>
      </c>
      <c r="I142" s="44"/>
      <c r="J142" s="44">
        <v>9000</v>
      </c>
      <c r="K142" s="40">
        <f>9000</f>
        <v>9000</v>
      </c>
      <c r="L142" s="44">
        <f t="shared" si="39"/>
        <v>18000</v>
      </c>
      <c r="M142" s="44"/>
      <c r="N142" s="40">
        <f t="shared" si="40"/>
        <v>9000</v>
      </c>
      <c r="O142" s="44">
        <v>9000</v>
      </c>
      <c r="P142" s="44"/>
      <c r="Q142" s="46"/>
      <c r="R142" s="40"/>
      <c r="S142" s="47">
        <f t="shared" si="41"/>
        <v>27000</v>
      </c>
      <c r="T142" s="4"/>
      <c r="U142" s="4">
        <f t="shared" si="31"/>
        <v>81000</v>
      </c>
      <c r="V142" s="5"/>
      <c r="W142" s="5"/>
    </row>
    <row r="143" spans="1:23" ht="15.75" customHeight="1">
      <c r="A143" s="33"/>
      <c r="B143" s="41"/>
      <c r="C143" s="59" t="s">
        <v>149</v>
      </c>
      <c r="D143" s="57"/>
      <c r="E143" s="43">
        <v>216000</v>
      </c>
      <c r="F143" s="40"/>
      <c r="G143" s="40">
        <f>9000+9000</f>
        <v>18000</v>
      </c>
      <c r="H143" s="44">
        <f>9000+9000+9000+9000</f>
        <v>36000</v>
      </c>
      <c r="I143" s="40"/>
      <c r="J143" s="40">
        <f t="shared" ref="J143:K143" si="42">9000+9000</f>
        <v>18000</v>
      </c>
      <c r="K143" s="40">
        <f t="shared" si="42"/>
        <v>18000</v>
      </c>
      <c r="L143" s="40">
        <f>9000+9000+9000+8400</f>
        <v>35400</v>
      </c>
      <c r="M143" s="44"/>
      <c r="N143" s="40">
        <f>9000+9000</f>
        <v>18000</v>
      </c>
      <c r="O143" s="44">
        <v>9000</v>
      </c>
      <c r="P143" s="40"/>
      <c r="Q143" s="46"/>
      <c r="R143" s="40"/>
      <c r="S143" s="47">
        <f>E143-F143-G143-H143-I143-J143-K143-L143-M143-N143-O143-P143-Q143</f>
        <v>63600</v>
      </c>
      <c r="T143" s="4"/>
      <c r="U143" s="4">
        <f t="shared" si="31"/>
        <v>152400</v>
      </c>
      <c r="V143" s="5"/>
      <c r="W143" s="5"/>
    </row>
    <row r="144" spans="1:23" ht="15.75" customHeight="1">
      <c r="A144" s="33"/>
      <c r="B144" s="41" t="s">
        <v>150</v>
      </c>
      <c r="C144" s="58"/>
      <c r="D144" s="57">
        <v>68000</v>
      </c>
      <c r="E144" s="43"/>
      <c r="F144" s="40"/>
      <c r="G144" s="40"/>
      <c r="H144" s="40"/>
      <c r="I144" s="40"/>
      <c r="J144" s="40"/>
      <c r="K144" s="40"/>
      <c r="L144" s="40"/>
      <c r="M144" s="44"/>
      <c r="N144" s="40"/>
      <c r="O144" s="40"/>
      <c r="P144" s="40"/>
      <c r="Q144" s="46"/>
      <c r="R144" s="40"/>
      <c r="S144" s="47"/>
      <c r="T144" s="4"/>
      <c r="U144" s="4">
        <f t="shared" si="31"/>
        <v>0</v>
      </c>
      <c r="V144" s="5"/>
      <c r="W144" s="5"/>
    </row>
    <row r="145" spans="1:23" ht="15.75" customHeight="1">
      <c r="A145" s="33"/>
      <c r="B145" s="41"/>
      <c r="C145" s="58" t="s">
        <v>52</v>
      </c>
      <c r="D145" s="42"/>
      <c r="E145" s="43">
        <f>30000+40000</f>
        <v>70000</v>
      </c>
      <c r="F145" s="40">
        <f>7300+4900+3300</f>
        <v>15500</v>
      </c>
      <c r="G145" s="40">
        <f>13600+544</f>
        <v>14144</v>
      </c>
      <c r="H145" s="44">
        <v>12240</v>
      </c>
      <c r="I145" s="40"/>
      <c r="J145" s="44">
        <f>7800+5000</f>
        <v>12800</v>
      </c>
      <c r="K145" s="40"/>
      <c r="L145" s="40"/>
      <c r="M145" s="44"/>
      <c r="N145" s="40"/>
      <c r="O145" s="40"/>
      <c r="P145" s="40"/>
      <c r="Q145" s="46"/>
      <c r="R145" s="40"/>
      <c r="S145" s="47">
        <f>E145-F145-G145-H145-I145-J145-K145-L145-M145-N145-O145-P145-Q145</f>
        <v>15316</v>
      </c>
      <c r="T145" s="4"/>
      <c r="U145" s="4">
        <f t="shared" si="31"/>
        <v>54684</v>
      </c>
      <c r="V145" s="5"/>
      <c r="W145" s="5"/>
    </row>
    <row r="146" spans="1:23" ht="15.75" customHeight="1">
      <c r="A146" s="33"/>
      <c r="B146" s="41"/>
      <c r="C146" s="58" t="s">
        <v>151</v>
      </c>
      <c r="D146" s="42"/>
      <c r="E146" s="43">
        <v>10000</v>
      </c>
      <c r="F146" s="40"/>
      <c r="G146" s="40"/>
      <c r="H146" s="40"/>
      <c r="I146" s="40"/>
      <c r="J146" s="40"/>
      <c r="K146" s="40"/>
      <c r="L146" s="40"/>
      <c r="M146" s="44"/>
      <c r="N146" s="40"/>
      <c r="O146" s="40"/>
      <c r="P146" s="40"/>
      <c r="Q146" s="46"/>
      <c r="R146" s="40"/>
      <c r="S146" s="47">
        <f>10000-F146-G146-H146-I146-J146-K146-L146-M146-N146-O146-P146-Q146</f>
        <v>10000</v>
      </c>
      <c r="T146" s="4"/>
      <c r="U146" s="4">
        <f t="shared" si="31"/>
        <v>0</v>
      </c>
      <c r="V146" s="5"/>
      <c r="W146" s="5"/>
    </row>
    <row r="147" spans="1:23" ht="15.75" customHeight="1">
      <c r="A147" s="67"/>
      <c r="B147" s="41" t="s">
        <v>152</v>
      </c>
      <c r="C147" s="58"/>
      <c r="D147" s="42"/>
      <c r="E147" s="43"/>
      <c r="F147" s="40"/>
      <c r="G147" s="40"/>
      <c r="H147" s="40"/>
      <c r="I147" s="40"/>
      <c r="J147" s="40"/>
      <c r="K147" s="40"/>
      <c r="L147" s="40"/>
      <c r="M147" s="44"/>
      <c r="N147" s="40"/>
      <c r="O147" s="40"/>
      <c r="P147" s="40"/>
      <c r="Q147" s="46"/>
      <c r="R147" s="40"/>
      <c r="S147" s="47"/>
      <c r="T147" s="4"/>
      <c r="U147" s="4">
        <f t="shared" si="31"/>
        <v>0</v>
      </c>
      <c r="V147" s="5"/>
      <c r="W147" s="5"/>
    </row>
    <row r="148" spans="1:23" ht="15.75" customHeight="1">
      <c r="A148" s="33"/>
      <c r="B148" s="62"/>
      <c r="C148" s="58" t="s">
        <v>79</v>
      </c>
      <c r="D148" s="42"/>
      <c r="E148" s="43">
        <v>20000</v>
      </c>
      <c r="F148" s="40"/>
      <c r="G148" s="40"/>
      <c r="H148" s="40"/>
      <c r="I148" s="40"/>
      <c r="J148" s="40"/>
      <c r="K148" s="40"/>
      <c r="L148" s="40"/>
      <c r="M148" s="44"/>
      <c r="N148" s="40"/>
      <c r="O148" s="40"/>
      <c r="P148" s="40"/>
      <c r="Q148" s="46"/>
      <c r="R148" s="40"/>
      <c r="S148" s="47">
        <f>20000-F148-G148-H148-I148-J148-K148-L148-M148-N148-O148-P148-Q148</f>
        <v>20000</v>
      </c>
      <c r="T148" s="4"/>
      <c r="U148" s="4">
        <f t="shared" si="31"/>
        <v>0</v>
      </c>
      <c r="V148" s="5"/>
      <c r="W148" s="5"/>
    </row>
    <row r="149" spans="1:23" ht="15.75" customHeight="1">
      <c r="A149" s="33"/>
      <c r="B149" s="62" t="s">
        <v>81</v>
      </c>
      <c r="C149" s="92"/>
      <c r="D149" s="57"/>
      <c r="E149" s="93"/>
      <c r="F149" s="49"/>
      <c r="G149" s="49"/>
      <c r="H149" s="49"/>
      <c r="I149" s="49"/>
      <c r="J149" s="49"/>
      <c r="K149" s="49"/>
      <c r="L149" s="49"/>
      <c r="M149" s="82"/>
      <c r="N149" s="49"/>
      <c r="O149" s="49"/>
      <c r="P149" s="49"/>
      <c r="Q149" s="83"/>
      <c r="R149" s="49"/>
      <c r="S149" s="47"/>
      <c r="T149" s="4"/>
      <c r="U149" s="4">
        <f t="shared" si="31"/>
        <v>0</v>
      </c>
      <c r="V149" s="5"/>
      <c r="W149" s="5"/>
    </row>
    <row r="150" spans="1:23" ht="15.75" customHeight="1">
      <c r="A150" s="33"/>
      <c r="B150" s="41" t="s">
        <v>153</v>
      </c>
      <c r="C150" s="58"/>
      <c r="D150" s="57">
        <v>80000</v>
      </c>
      <c r="E150" s="43">
        <f>30000+20000</f>
        <v>50000</v>
      </c>
      <c r="F150" s="40">
        <f>1180</f>
        <v>1180</v>
      </c>
      <c r="G150" s="40">
        <f>2460</f>
        <v>2460</v>
      </c>
      <c r="H150" s="40">
        <f>195+23548</f>
        <v>23743</v>
      </c>
      <c r="I150" s="40"/>
      <c r="J150" s="40"/>
      <c r="K150" s="40"/>
      <c r="L150" s="40">
        <f>1230+6585+2280</f>
        <v>10095</v>
      </c>
      <c r="M150" s="44"/>
      <c r="N150" s="40">
        <f>2109</f>
        <v>2109</v>
      </c>
      <c r="O150" s="40"/>
      <c r="P150" s="40"/>
      <c r="Q150" s="46"/>
      <c r="R150" s="40"/>
      <c r="S150" s="47">
        <f t="shared" ref="S150:S151" si="43">E150-F150-G150-H150-I150-J150-K150-L150-M150-N150-O150-P150-Q150</f>
        <v>10413</v>
      </c>
      <c r="T150" s="4"/>
      <c r="U150" s="4">
        <f t="shared" si="31"/>
        <v>39587</v>
      </c>
      <c r="V150" s="5"/>
      <c r="W150" s="5"/>
    </row>
    <row r="151" spans="1:23" ht="15.75" customHeight="1">
      <c r="A151" s="33"/>
      <c r="B151" s="40" t="s">
        <v>154</v>
      </c>
      <c r="C151" s="41"/>
      <c r="D151" s="42"/>
      <c r="E151" s="43">
        <f>40000+35000</f>
        <v>75000</v>
      </c>
      <c r="F151" s="40"/>
      <c r="G151" s="40"/>
      <c r="H151" s="40"/>
      <c r="I151" s="40"/>
      <c r="J151" s="44">
        <v>31332</v>
      </c>
      <c r="K151" s="44">
        <v>7392</v>
      </c>
      <c r="L151" s="40"/>
      <c r="M151" s="44">
        <v>16872</v>
      </c>
      <c r="N151" s="40"/>
      <c r="O151" s="44"/>
      <c r="P151" s="40"/>
      <c r="Q151" s="46"/>
      <c r="R151" s="40"/>
      <c r="S151" s="47">
        <f t="shared" si="43"/>
        <v>19404</v>
      </c>
      <c r="T151" s="4"/>
      <c r="U151" s="4">
        <f t="shared" si="31"/>
        <v>55596</v>
      </c>
      <c r="V151" s="5"/>
      <c r="W151" s="5"/>
    </row>
    <row r="152" spans="1:23" ht="15.75" customHeight="1" thickBot="1">
      <c r="A152" s="33"/>
      <c r="B152" s="37" t="s">
        <v>155</v>
      </c>
      <c r="C152" s="33"/>
      <c r="D152" s="123"/>
      <c r="E152" s="36">
        <v>10000</v>
      </c>
      <c r="F152" s="37"/>
      <c r="G152" s="37"/>
      <c r="H152" s="37"/>
      <c r="I152" s="37"/>
      <c r="J152" s="37"/>
      <c r="K152" s="37"/>
      <c r="L152" s="37"/>
      <c r="M152" s="51"/>
      <c r="N152" s="37"/>
      <c r="O152" s="51"/>
      <c r="P152" s="37"/>
      <c r="Q152" s="38"/>
      <c r="R152" s="37"/>
      <c r="S152" s="47">
        <f>10000-F152-G152-H152-I152-J152-K152-L152-M152-N152-O152-P152-Q152</f>
        <v>10000</v>
      </c>
      <c r="T152" s="4"/>
      <c r="U152" s="4">
        <f t="shared" si="31"/>
        <v>0</v>
      </c>
      <c r="V152" s="5"/>
      <c r="W152" s="5"/>
    </row>
    <row r="153" spans="1:23" ht="19.5" customHeight="1" thickTop="1" thickBot="1">
      <c r="A153" s="124" t="s">
        <v>133</v>
      </c>
      <c r="B153" s="125"/>
      <c r="C153" s="125"/>
      <c r="D153" s="126"/>
      <c r="E153" s="127">
        <f>SUM(E128:E152)</f>
        <v>1969000</v>
      </c>
      <c r="F153" s="128">
        <f t="shared" ref="F153:L153" si="44">SUM(F134:F152,F127,F128,F129,F130,F131,F132)</f>
        <v>85750</v>
      </c>
      <c r="G153" s="128">
        <f t="shared" si="44"/>
        <v>121674</v>
      </c>
      <c r="H153" s="128">
        <f t="shared" si="44"/>
        <v>191553</v>
      </c>
      <c r="I153" s="128">
        <f t="shared" si="44"/>
        <v>90570</v>
      </c>
      <c r="J153" s="128">
        <f t="shared" si="44"/>
        <v>164202</v>
      </c>
      <c r="K153" s="128">
        <f t="shared" si="44"/>
        <v>127462</v>
      </c>
      <c r="L153" s="128">
        <f t="shared" si="44"/>
        <v>166435</v>
      </c>
      <c r="M153" s="129">
        <f>SUM(M128:M131,M135,M135:M152)</f>
        <v>101812</v>
      </c>
      <c r="N153" s="128">
        <f t="shared" ref="N153:S153" si="45">SUM(N134:N152,N127,N128,N129,N130,N131,N132)</f>
        <v>136334</v>
      </c>
      <c r="O153" s="128">
        <f t="shared" si="45"/>
        <v>27000</v>
      </c>
      <c r="P153" s="128">
        <f t="shared" si="45"/>
        <v>0</v>
      </c>
      <c r="Q153" s="128">
        <f t="shared" si="45"/>
        <v>0</v>
      </c>
      <c r="R153" s="128">
        <f t="shared" si="45"/>
        <v>0</v>
      </c>
      <c r="S153" s="130">
        <f t="shared" si="45"/>
        <v>756208</v>
      </c>
      <c r="T153" s="131">
        <f>F153+G153+H153+I153+J153+K153+L153+M153+N153+O153+P153+Q153+S153</f>
        <v>1969000</v>
      </c>
      <c r="U153" s="4">
        <f t="shared" si="31"/>
        <v>1212792</v>
      </c>
      <c r="V153" s="5"/>
      <c r="W153" s="5"/>
    </row>
    <row r="154" spans="1:23" ht="29.25" customHeight="1" thickTop="1">
      <c r="A154" s="146"/>
      <c r="B154" s="147"/>
      <c r="C154" s="147"/>
      <c r="D154" s="147"/>
      <c r="E154" s="133"/>
      <c r="F154" s="132"/>
      <c r="G154" s="132"/>
      <c r="H154" s="132"/>
      <c r="I154" s="132"/>
      <c r="J154" s="132"/>
      <c r="K154" s="132"/>
      <c r="L154" s="132"/>
      <c r="M154" s="134" t="s">
        <v>134</v>
      </c>
      <c r="N154" s="132"/>
      <c r="O154" s="132"/>
      <c r="P154" s="132"/>
      <c r="Q154" s="133"/>
      <c r="R154" s="132"/>
      <c r="S154" s="132"/>
      <c r="T154" s="4"/>
      <c r="U154" s="4">
        <f t="shared" si="31"/>
        <v>0</v>
      </c>
      <c r="V154" s="5"/>
      <c r="W154" s="5"/>
    </row>
    <row r="155" spans="1:23" ht="24.75" customHeight="1">
      <c r="A155" s="135" t="s">
        <v>156</v>
      </c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26"/>
      <c r="U155" s="4">
        <f t="shared" si="31"/>
        <v>0</v>
      </c>
      <c r="V155" s="5"/>
      <c r="W155" s="5"/>
    </row>
    <row r="156" spans="1:23" ht="15.75" customHeight="1">
      <c r="A156" s="17"/>
      <c r="B156" s="18"/>
      <c r="C156" s="18"/>
      <c r="D156" s="19"/>
      <c r="E156" s="148" t="s">
        <v>2</v>
      </c>
      <c r="F156" s="149" t="s">
        <v>3</v>
      </c>
      <c r="G156" s="149" t="s">
        <v>4</v>
      </c>
      <c r="H156" s="149" t="s">
        <v>5</v>
      </c>
      <c r="I156" s="149" t="s">
        <v>6</v>
      </c>
      <c r="J156" s="149" t="s">
        <v>7</v>
      </c>
      <c r="K156" s="149" t="s">
        <v>8</v>
      </c>
      <c r="L156" s="150" t="s">
        <v>9</v>
      </c>
      <c r="M156" s="149" t="s">
        <v>136</v>
      </c>
      <c r="N156" s="150" t="s">
        <v>11</v>
      </c>
      <c r="O156" s="149" t="s">
        <v>12</v>
      </c>
      <c r="P156" s="151" t="s">
        <v>13</v>
      </c>
      <c r="Q156" s="151" t="s">
        <v>14</v>
      </c>
      <c r="R156" s="152"/>
      <c r="S156" s="153" t="s">
        <v>15</v>
      </c>
      <c r="T156" s="4"/>
      <c r="U156" s="4">
        <f t="shared" si="31"/>
        <v>0</v>
      </c>
      <c r="V156" s="27"/>
      <c r="W156" s="27"/>
    </row>
    <row r="157" spans="1:23" ht="15.75" customHeight="1">
      <c r="A157" s="137" t="s">
        <v>134</v>
      </c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9"/>
      <c r="T157" s="4"/>
      <c r="U157" s="4">
        <f t="shared" si="31"/>
        <v>0</v>
      </c>
      <c r="V157" s="5"/>
      <c r="W157" s="5"/>
    </row>
    <row r="158" spans="1:23" ht="15.75" customHeight="1">
      <c r="A158" s="33"/>
      <c r="B158" s="154" t="s">
        <v>25</v>
      </c>
      <c r="C158" s="155"/>
      <c r="D158" s="56">
        <v>875000</v>
      </c>
      <c r="E158" s="156"/>
      <c r="F158" s="138"/>
      <c r="G158" s="138"/>
      <c r="H158" s="138"/>
      <c r="I158" s="138"/>
      <c r="J158" s="138"/>
      <c r="K158" s="138"/>
      <c r="L158" s="138"/>
      <c r="M158" s="157"/>
      <c r="N158" s="138"/>
      <c r="O158" s="138"/>
      <c r="P158" s="138"/>
      <c r="Q158" s="139"/>
      <c r="R158" s="138"/>
      <c r="S158" s="140"/>
      <c r="T158" s="4"/>
      <c r="U158" s="4">
        <f t="shared" si="31"/>
        <v>0</v>
      </c>
      <c r="V158" s="5"/>
      <c r="W158" s="5"/>
    </row>
    <row r="159" spans="1:23" ht="15.75" customHeight="1">
      <c r="A159" s="33"/>
      <c r="B159" s="40" t="s">
        <v>137</v>
      </c>
      <c r="C159" s="41"/>
      <c r="D159" s="42"/>
      <c r="E159" s="43">
        <v>378000</v>
      </c>
      <c r="F159" s="44">
        <v>30790</v>
      </c>
      <c r="G159" s="44">
        <v>30790</v>
      </c>
      <c r="H159" s="44">
        <v>30790</v>
      </c>
      <c r="I159" s="44">
        <v>30790</v>
      </c>
      <c r="J159" s="44">
        <v>30790</v>
      </c>
      <c r="K159" s="44">
        <v>30790</v>
      </c>
      <c r="L159" s="44">
        <v>31340</v>
      </c>
      <c r="M159" s="44">
        <v>31340</v>
      </c>
      <c r="N159" s="44">
        <v>31340</v>
      </c>
      <c r="O159" s="44"/>
      <c r="P159" s="44"/>
      <c r="Q159" s="46"/>
      <c r="R159" s="40"/>
      <c r="S159" s="47">
        <f>378000-F159-G159-H159-I159-J159-K159-L159-M159-N159-O159-P159-Q159</f>
        <v>99240</v>
      </c>
      <c r="T159" s="4"/>
      <c r="U159" s="4">
        <f t="shared" si="31"/>
        <v>278760</v>
      </c>
      <c r="V159" s="5"/>
      <c r="W159" s="5"/>
    </row>
    <row r="160" spans="1:23" ht="15.75" customHeight="1">
      <c r="A160" s="33"/>
      <c r="B160" s="40" t="s">
        <v>138</v>
      </c>
      <c r="C160" s="41"/>
      <c r="D160" s="42"/>
      <c r="E160" s="43">
        <v>42000</v>
      </c>
      <c r="F160" s="44">
        <v>3500</v>
      </c>
      <c r="G160" s="44">
        <v>3500</v>
      </c>
      <c r="H160" s="44">
        <v>3500</v>
      </c>
      <c r="I160" s="44">
        <v>3500</v>
      </c>
      <c r="J160" s="44">
        <v>3500</v>
      </c>
      <c r="K160" s="44">
        <v>3500</v>
      </c>
      <c r="L160" s="44">
        <v>3500</v>
      </c>
      <c r="M160" s="44">
        <v>3500</v>
      </c>
      <c r="N160" s="44">
        <v>3500</v>
      </c>
      <c r="O160" s="44"/>
      <c r="P160" s="44"/>
      <c r="Q160" s="46"/>
      <c r="R160" s="40"/>
      <c r="S160" s="47">
        <f>42000-F160-G160-H160-I160-J160-K160-L160-M160-N160-O160-P160-Q160</f>
        <v>10500</v>
      </c>
      <c r="T160" s="4"/>
      <c r="U160" s="4">
        <f t="shared" si="31"/>
        <v>31500</v>
      </c>
      <c r="V160" s="5"/>
      <c r="W160" s="5"/>
    </row>
    <row r="161" spans="1:23" ht="15.75" customHeight="1">
      <c r="A161" s="33"/>
      <c r="B161" s="40" t="s">
        <v>157</v>
      </c>
      <c r="C161" s="41"/>
      <c r="D161" s="42"/>
      <c r="E161" s="43">
        <v>430000</v>
      </c>
      <c r="F161" s="44">
        <v>35760</v>
      </c>
      <c r="G161" s="44">
        <v>22540</v>
      </c>
      <c r="H161" s="44">
        <v>22540</v>
      </c>
      <c r="I161" s="44">
        <v>22540</v>
      </c>
      <c r="J161" s="44">
        <v>17959</v>
      </c>
      <c r="K161" s="44">
        <v>22540</v>
      </c>
      <c r="L161" s="44">
        <v>22540</v>
      </c>
      <c r="M161" s="44">
        <v>22540</v>
      </c>
      <c r="N161" s="44">
        <v>34040</v>
      </c>
      <c r="O161" s="44"/>
      <c r="P161" s="44"/>
      <c r="Q161" s="46"/>
      <c r="R161" s="40"/>
      <c r="S161" s="47">
        <f>430000-F161-G161-H161-I161-J161-K161-L161-M161-N161-O161-P161-Q161</f>
        <v>207001</v>
      </c>
      <c r="T161" s="4"/>
      <c r="U161" s="4">
        <f t="shared" si="31"/>
        <v>222999</v>
      </c>
      <c r="V161" s="5"/>
      <c r="W161" s="5"/>
    </row>
    <row r="162" spans="1:23" ht="15.75" customHeight="1">
      <c r="A162" s="33"/>
      <c r="B162" s="141" t="s">
        <v>158</v>
      </c>
      <c r="C162" s="142"/>
      <c r="D162" s="50"/>
      <c r="E162" s="143">
        <v>50000</v>
      </c>
      <c r="F162" s="144">
        <v>3470</v>
      </c>
      <c r="G162" s="144">
        <v>3405</v>
      </c>
      <c r="H162" s="144">
        <v>3405</v>
      </c>
      <c r="I162" s="144">
        <v>3405</v>
      </c>
      <c r="J162" s="144">
        <v>3405</v>
      </c>
      <c r="K162" s="144">
        <v>3405</v>
      </c>
      <c r="L162" s="144">
        <v>3405</v>
      </c>
      <c r="M162" s="144">
        <v>3405</v>
      </c>
      <c r="N162" s="144">
        <v>5190</v>
      </c>
      <c r="O162" s="144"/>
      <c r="P162" s="144"/>
      <c r="Q162" s="145"/>
      <c r="R162" s="141"/>
      <c r="S162" s="47">
        <f>50000-F162-G162-H162-I162-J162-K162-L162-M162-N162-O162-P162-Q162</f>
        <v>17505</v>
      </c>
      <c r="T162" s="4"/>
      <c r="U162" s="4">
        <f t="shared" si="31"/>
        <v>32495</v>
      </c>
      <c r="V162" s="5"/>
      <c r="W162" s="5"/>
    </row>
    <row r="163" spans="1:23" ht="15.75" customHeight="1">
      <c r="A163" s="52" t="s">
        <v>142</v>
      </c>
      <c r="B163" s="53"/>
      <c r="C163" s="53"/>
      <c r="D163" s="53"/>
      <c r="E163" s="54"/>
      <c r="F163" s="55" t="s">
        <v>134</v>
      </c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9"/>
      <c r="T163" s="4"/>
      <c r="U163" s="4">
        <f t="shared" si="31"/>
        <v>0</v>
      </c>
      <c r="V163" s="5"/>
      <c r="W163" s="5"/>
    </row>
    <row r="164" spans="1:23" ht="15.75" customHeight="1">
      <c r="A164" s="33"/>
      <c r="B164" s="154" t="s">
        <v>33</v>
      </c>
      <c r="C164" s="155"/>
      <c r="D164" s="56">
        <v>110000</v>
      </c>
      <c r="E164" s="156"/>
      <c r="F164" s="138"/>
      <c r="G164" s="138"/>
      <c r="H164" s="138"/>
      <c r="I164" s="138"/>
      <c r="J164" s="138"/>
      <c r="K164" s="138"/>
      <c r="L164" s="138"/>
      <c r="M164" s="157"/>
      <c r="N164" s="138"/>
      <c r="O164" s="138"/>
      <c r="P164" s="138"/>
      <c r="Q164" s="139"/>
      <c r="R164" s="138"/>
      <c r="S164" s="140"/>
      <c r="T164" s="4"/>
      <c r="U164" s="4">
        <f t="shared" si="31"/>
        <v>0</v>
      </c>
      <c r="V164" s="5"/>
      <c r="W164" s="5"/>
    </row>
    <row r="165" spans="1:23" ht="15.75" customHeight="1">
      <c r="A165" s="33"/>
      <c r="B165" s="40" t="s">
        <v>143</v>
      </c>
      <c r="C165" s="40"/>
      <c r="D165" s="40"/>
      <c r="E165" s="43">
        <f>30000+32000+4300+30000+30000</f>
        <v>126300</v>
      </c>
      <c r="F165" s="40"/>
      <c r="G165" s="40"/>
      <c r="H165" s="40"/>
      <c r="I165" s="40"/>
      <c r="J165" s="40"/>
      <c r="K165" s="40"/>
      <c r="L165" s="40"/>
      <c r="M165" s="44">
        <f>51850+18900</f>
        <v>70750</v>
      </c>
      <c r="N165" s="40"/>
      <c r="O165" s="40"/>
      <c r="P165" s="40"/>
      <c r="Q165" s="46"/>
      <c r="R165" s="40"/>
      <c r="S165" s="47">
        <f>E165-F165-G165-H165-I165-J165-K165-L165-M165-N165-O165-P165-Q165</f>
        <v>55550</v>
      </c>
      <c r="T165" s="4"/>
      <c r="U165" s="4">
        <f t="shared" si="31"/>
        <v>70750</v>
      </c>
      <c r="V165" s="5"/>
      <c r="W165" s="5"/>
    </row>
    <row r="166" spans="1:23" ht="15.75" customHeight="1">
      <c r="A166" s="33"/>
      <c r="B166" s="40" t="s">
        <v>144</v>
      </c>
      <c r="C166" s="41"/>
      <c r="D166" s="42"/>
      <c r="E166" s="43">
        <v>10000</v>
      </c>
      <c r="F166" s="40"/>
      <c r="G166" s="40"/>
      <c r="H166" s="40"/>
      <c r="I166" s="40"/>
      <c r="J166" s="40"/>
      <c r="K166" s="40"/>
      <c r="L166" s="40"/>
      <c r="M166" s="44"/>
      <c r="N166" s="40"/>
      <c r="O166" s="40"/>
      <c r="P166" s="40"/>
      <c r="Q166" s="46"/>
      <c r="R166" s="40"/>
      <c r="S166" s="47">
        <f>10000-F166-G166-H166-I166-J166-K166-L166-M166-N166-O166-P166-Q166</f>
        <v>10000</v>
      </c>
      <c r="T166" s="4"/>
      <c r="U166" s="4">
        <f t="shared" si="31"/>
        <v>0</v>
      </c>
      <c r="V166" s="5"/>
      <c r="W166" s="5"/>
    </row>
    <row r="167" spans="1:23" ht="15.75" customHeight="1">
      <c r="A167" s="33"/>
      <c r="B167" s="40" t="s">
        <v>145</v>
      </c>
      <c r="C167" s="41"/>
      <c r="D167" s="42"/>
      <c r="E167" s="43">
        <v>20000</v>
      </c>
      <c r="F167" s="40">
        <f>2671.75</f>
        <v>2671.75</v>
      </c>
      <c r="G167" s="40"/>
      <c r="H167" s="40"/>
      <c r="I167" s="40"/>
      <c r="J167" s="44">
        <v>2671.75</v>
      </c>
      <c r="K167" s="40"/>
      <c r="L167" s="40"/>
      <c r="M167" s="44"/>
      <c r="N167" s="40"/>
      <c r="O167" s="40"/>
      <c r="P167" s="40"/>
      <c r="Q167" s="46"/>
      <c r="R167" s="40"/>
      <c r="S167" s="47">
        <f>20000-F167-G167-H167-I167-J167-K167-L167-M167-N167-O167-P167-Q167</f>
        <v>14656.5</v>
      </c>
      <c r="T167" s="4"/>
      <c r="U167" s="4">
        <f t="shared" si="31"/>
        <v>5343.5</v>
      </c>
      <c r="V167" s="5"/>
      <c r="W167" s="5"/>
    </row>
    <row r="168" spans="1:23" ht="15.75" customHeight="1">
      <c r="A168" s="33"/>
      <c r="B168" s="49" t="s">
        <v>38</v>
      </c>
      <c r="C168" s="41"/>
      <c r="D168" s="57">
        <v>278000</v>
      </c>
      <c r="E168" s="43"/>
      <c r="F168" s="40"/>
      <c r="G168" s="40"/>
      <c r="H168" s="40"/>
      <c r="I168" s="40"/>
      <c r="J168" s="40"/>
      <c r="K168" s="40"/>
      <c r="L168" s="40"/>
      <c r="M168" s="44"/>
      <c r="N168" s="40"/>
      <c r="O168" s="40"/>
      <c r="P168" s="40"/>
      <c r="Q168" s="46"/>
      <c r="R168" s="40"/>
      <c r="S168" s="47"/>
      <c r="T168" s="4"/>
      <c r="U168" s="4">
        <f t="shared" si="31"/>
        <v>0</v>
      </c>
      <c r="V168" s="5"/>
      <c r="W168" s="5"/>
    </row>
    <row r="169" spans="1:23" ht="15.75" customHeight="1">
      <c r="A169" s="33"/>
      <c r="B169" s="40" t="s">
        <v>146</v>
      </c>
      <c r="C169" s="41"/>
      <c r="D169" s="42"/>
      <c r="E169" s="43"/>
      <c r="F169" s="40"/>
      <c r="G169" s="40"/>
      <c r="H169" s="40"/>
      <c r="I169" s="40"/>
      <c r="J169" s="40"/>
      <c r="K169" s="40"/>
      <c r="L169" s="40"/>
      <c r="M169" s="44"/>
      <c r="N169" s="40"/>
      <c r="O169" s="40"/>
      <c r="P169" s="40"/>
      <c r="Q169" s="46"/>
      <c r="R169" s="40"/>
      <c r="S169" s="47"/>
      <c r="T169" s="4"/>
      <c r="U169" s="4">
        <f t="shared" si="31"/>
        <v>0</v>
      </c>
      <c r="V169" s="5"/>
      <c r="W169" s="5"/>
    </row>
    <row r="170" spans="1:23" ht="15.75" customHeight="1">
      <c r="A170" s="33"/>
      <c r="B170" s="41"/>
      <c r="C170" s="58" t="s">
        <v>40</v>
      </c>
      <c r="D170" s="42"/>
      <c r="E170" s="43">
        <v>50000</v>
      </c>
      <c r="F170" s="40"/>
      <c r="G170" s="40"/>
      <c r="H170" s="40"/>
      <c r="I170" s="40"/>
      <c r="J170" s="40"/>
      <c r="K170" s="40"/>
      <c r="L170" s="40"/>
      <c r="M170" s="44"/>
      <c r="N170" s="40"/>
      <c r="O170" s="40"/>
      <c r="P170" s="40"/>
      <c r="Q170" s="46"/>
      <c r="R170" s="40"/>
      <c r="S170" s="47">
        <f>50000-F170-G170-H170-I170-J170-K170-L170-M170-N170-O170-P170-Q170</f>
        <v>50000</v>
      </c>
      <c r="T170" s="4"/>
      <c r="U170" s="4">
        <f t="shared" si="31"/>
        <v>0</v>
      </c>
      <c r="V170" s="5"/>
      <c r="W170" s="5"/>
    </row>
    <row r="171" spans="1:23" ht="15.75" customHeight="1">
      <c r="A171" s="33"/>
      <c r="B171" s="41"/>
      <c r="C171" s="59" t="s">
        <v>159</v>
      </c>
      <c r="D171" s="42"/>
      <c r="E171" s="43">
        <v>90000</v>
      </c>
      <c r="F171" s="40"/>
      <c r="G171" s="40"/>
      <c r="H171" s="40"/>
      <c r="I171" s="44"/>
      <c r="J171" s="44">
        <v>7500</v>
      </c>
      <c r="K171" s="44">
        <v>9000</v>
      </c>
      <c r="L171" s="44">
        <f>9000+8400</f>
        <v>17400</v>
      </c>
      <c r="M171" s="44"/>
      <c r="N171" s="40">
        <f>9000</f>
        <v>9000</v>
      </c>
      <c r="O171" s="40"/>
      <c r="P171" s="40"/>
      <c r="Q171" s="46"/>
      <c r="R171" s="40"/>
      <c r="S171" s="47">
        <f t="shared" ref="S171:S172" si="46">E171-F171-G171-H171-I171-J171-K171-L171-M171-N171-O171-P171-Q171</f>
        <v>47100</v>
      </c>
      <c r="T171" s="4"/>
      <c r="U171" s="4"/>
      <c r="V171" s="5"/>
      <c r="W171" s="5"/>
    </row>
    <row r="172" spans="1:23" ht="15.75" customHeight="1">
      <c r="A172" s="33"/>
      <c r="B172" s="41"/>
      <c r="C172" s="59" t="s">
        <v>160</v>
      </c>
      <c r="D172" s="42"/>
      <c r="E172" s="43">
        <f>63000-20000</f>
        <v>43000</v>
      </c>
      <c r="F172" s="40"/>
      <c r="G172" s="40"/>
      <c r="H172" s="40"/>
      <c r="I172" s="44"/>
      <c r="J172" s="44"/>
      <c r="K172" s="44"/>
      <c r="L172" s="44">
        <f>9000+9000</f>
        <v>18000</v>
      </c>
      <c r="M172" s="44"/>
      <c r="N172" s="40">
        <f>2400</f>
        <v>2400</v>
      </c>
      <c r="O172" s="40"/>
      <c r="P172" s="40"/>
      <c r="Q172" s="46"/>
      <c r="R172" s="40"/>
      <c r="S172" s="47">
        <f t="shared" si="46"/>
        <v>22600</v>
      </c>
      <c r="T172" s="4"/>
      <c r="U172" s="4"/>
      <c r="V172" s="5"/>
      <c r="W172" s="5"/>
    </row>
    <row r="173" spans="1:23" ht="15.75" customHeight="1">
      <c r="A173" s="33"/>
      <c r="B173" s="41" t="s">
        <v>150</v>
      </c>
      <c r="C173" s="42"/>
      <c r="D173" s="40"/>
      <c r="E173" s="43"/>
      <c r="F173" s="40"/>
      <c r="G173" s="40"/>
      <c r="H173" s="40"/>
      <c r="I173" s="40"/>
      <c r="J173" s="40"/>
      <c r="K173" s="40"/>
      <c r="L173" s="40"/>
      <c r="M173" s="44"/>
      <c r="N173" s="40"/>
      <c r="O173" s="40"/>
      <c r="P173" s="40"/>
      <c r="Q173" s="46"/>
      <c r="R173" s="40"/>
      <c r="S173" s="47"/>
      <c r="T173" s="4"/>
      <c r="U173" s="4">
        <f t="shared" ref="U173:U176" si="47">SUM(F173:Q173)</f>
        <v>0</v>
      </c>
      <c r="V173" s="5"/>
      <c r="W173" s="5"/>
    </row>
    <row r="174" spans="1:23" ht="15.75" customHeight="1">
      <c r="A174" s="33"/>
      <c r="B174" s="41"/>
      <c r="C174" s="158" t="s">
        <v>52</v>
      </c>
      <c r="D174" s="42"/>
      <c r="E174" s="43">
        <v>20000</v>
      </c>
      <c r="F174" s="40"/>
      <c r="G174" s="40"/>
      <c r="H174" s="40"/>
      <c r="I174" s="40"/>
      <c r="J174" s="40"/>
      <c r="K174" s="40"/>
      <c r="L174" s="40"/>
      <c r="M174" s="44"/>
      <c r="N174" s="40"/>
      <c r="O174" s="40"/>
      <c r="P174" s="40"/>
      <c r="Q174" s="46"/>
      <c r="R174" s="40"/>
      <c r="S174" s="47">
        <f>20000-F174-G174-H174-I174-J174-K174-L174-M174-N174-O174-P174-Q174</f>
        <v>20000</v>
      </c>
      <c r="T174" s="4"/>
      <c r="U174" s="4">
        <f t="shared" si="47"/>
        <v>0</v>
      </c>
      <c r="V174" s="5"/>
      <c r="W174" s="5"/>
    </row>
    <row r="175" spans="1:23" ht="15.75" customHeight="1">
      <c r="A175" s="67"/>
      <c r="B175" s="41" t="s">
        <v>152</v>
      </c>
      <c r="C175" s="58"/>
      <c r="D175" s="42"/>
      <c r="E175" s="43"/>
      <c r="F175" s="40"/>
      <c r="G175" s="40"/>
      <c r="H175" s="40"/>
      <c r="I175" s="40"/>
      <c r="J175" s="40"/>
      <c r="K175" s="40"/>
      <c r="L175" s="40"/>
      <c r="M175" s="44"/>
      <c r="N175" s="40"/>
      <c r="O175" s="40"/>
      <c r="P175" s="40"/>
      <c r="Q175" s="46"/>
      <c r="R175" s="40"/>
      <c r="S175" s="47"/>
      <c r="T175" s="4"/>
      <c r="U175" s="4">
        <f t="shared" si="47"/>
        <v>0</v>
      </c>
      <c r="V175" s="5"/>
      <c r="W175" s="5"/>
    </row>
    <row r="176" spans="1:23" ht="15.75" customHeight="1">
      <c r="A176" s="33"/>
      <c r="B176" s="62"/>
      <c r="C176" s="159" t="s">
        <v>79</v>
      </c>
      <c r="D176" s="42"/>
      <c r="E176" s="43">
        <v>50000</v>
      </c>
      <c r="F176" s="40"/>
      <c r="G176" s="40"/>
      <c r="H176" s="40"/>
      <c r="I176" s="40"/>
      <c r="J176" s="44">
        <f>4500</f>
        <v>4500</v>
      </c>
      <c r="K176" s="40"/>
      <c r="L176" s="44">
        <v>6830</v>
      </c>
      <c r="M176" s="44"/>
      <c r="N176" s="40"/>
      <c r="O176" s="40"/>
      <c r="P176" s="40"/>
      <c r="Q176" s="46"/>
      <c r="R176" s="40"/>
      <c r="S176" s="47">
        <f>50000-F176-G176-H176-I176-J176-K176-L176-M176-N176-O176-P176-Q176</f>
        <v>38670</v>
      </c>
      <c r="T176" s="4"/>
      <c r="U176" s="4">
        <f t="shared" si="47"/>
        <v>11330</v>
      </c>
      <c r="V176" s="5"/>
      <c r="W176" s="5"/>
    </row>
    <row r="177" spans="1:23" ht="15.75" customHeight="1">
      <c r="A177" s="33"/>
      <c r="B177" s="62"/>
      <c r="C177" s="59" t="s">
        <v>161</v>
      </c>
      <c r="D177" s="57"/>
      <c r="E177" s="43">
        <f>300000-300000</f>
        <v>0</v>
      </c>
      <c r="F177" s="40"/>
      <c r="G177" s="40"/>
      <c r="H177" s="40"/>
      <c r="I177" s="40"/>
      <c r="J177" s="40"/>
      <c r="K177" s="40"/>
      <c r="L177" s="40"/>
      <c r="M177" s="44"/>
      <c r="N177" s="40"/>
      <c r="O177" s="40"/>
      <c r="P177" s="40"/>
      <c r="Q177" s="46"/>
      <c r="R177" s="40"/>
      <c r="S177" s="47">
        <f>E177-F177-G177-H177-I177-J177-K177-L177-M177-N177-O177-P177-Q177</f>
        <v>0</v>
      </c>
      <c r="T177" s="4"/>
      <c r="U177" s="4"/>
      <c r="V177" s="5"/>
      <c r="W177" s="5"/>
    </row>
    <row r="178" spans="1:23" ht="15.75" customHeight="1">
      <c r="A178" s="33"/>
      <c r="B178" s="62" t="s">
        <v>81</v>
      </c>
      <c r="C178" s="59"/>
      <c r="D178" s="57">
        <v>140000</v>
      </c>
      <c r="E178" s="43"/>
      <c r="F178" s="40"/>
      <c r="G178" s="40"/>
      <c r="H178" s="40"/>
      <c r="I178" s="40"/>
      <c r="J178" s="40"/>
      <c r="K178" s="40"/>
      <c r="L178" s="40"/>
      <c r="M178" s="44"/>
      <c r="N178" s="40"/>
      <c r="O178" s="40"/>
      <c r="P178" s="40"/>
      <c r="Q178" s="46"/>
      <c r="R178" s="40"/>
      <c r="S178" s="47"/>
      <c r="T178" s="4"/>
      <c r="U178" s="4">
        <f t="shared" ref="U178:U192" si="48">SUM(F178:Q178)</f>
        <v>0</v>
      </c>
      <c r="V178" s="5"/>
      <c r="W178" s="5"/>
    </row>
    <row r="179" spans="1:23" ht="15.75" customHeight="1">
      <c r="A179" s="33"/>
      <c r="B179" s="41" t="s">
        <v>153</v>
      </c>
      <c r="C179" s="58"/>
      <c r="D179" s="42"/>
      <c r="E179" s="43">
        <v>20000</v>
      </c>
      <c r="F179" s="40"/>
      <c r="G179" s="40"/>
      <c r="H179" s="40"/>
      <c r="I179" s="40"/>
      <c r="J179" s="40"/>
      <c r="K179" s="40"/>
      <c r="L179" s="40"/>
      <c r="M179" s="44"/>
      <c r="N179" s="40"/>
      <c r="O179" s="40"/>
      <c r="P179" s="40"/>
      <c r="Q179" s="46"/>
      <c r="R179" s="40"/>
      <c r="S179" s="47">
        <f>20000-F179-G179-H179-I179-J179-K179-L179-M179-N179-O179-P179-Q179</f>
        <v>20000</v>
      </c>
      <c r="T179" s="4"/>
      <c r="U179" s="4">
        <f t="shared" si="48"/>
        <v>0</v>
      </c>
      <c r="V179" s="5"/>
      <c r="W179" s="5"/>
    </row>
    <row r="180" spans="1:23" ht="15.75" customHeight="1">
      <c r="A180" s="33"/>
      <c r="B180" s="40" t="s">
        <v>154</v>
      </c>
      <c r="C180" s="41"/>
      <c r="D180" s="42"/>
      <c r="E180" s="43">
        <f>50000+30000</f>
        <v>80000</v>
      </c>
      <c r="F180" s="40"/>
      <c r="G180" s="40"/>
      <c r="H180" s="40"/>
      <c r="I180" s="40">
        <f>29799.4</f>
        <v>29799.4</v>
      </c>
      <c r="J180" s="40"/>
      <c r="K180" s="44">
        <v>12258</v>
      </c>
      <c r="L180" s="40"/>
      <c r="M180" s="44"/>
      <c r="N180" s="40"/>
      <c r="O180" s="40"/>
      <c r="P180" s="40"/>
      <c r="Q180" s="46"/>
      <c r="R180" s="40"/>
      <c r="S180" s="47">
        <f>E180-F180-G180-H180-I180-J180-K180-L180-M180-N180-O180-P180-Q180</f>
        <v>37942.6</v>
      </c>
      <c r="T180" s="4"/>
      <c r="U180" s="4">
        <f t="shared" si="48"/>
        <v>42057.4</v>
      </c>
      <c r="V180" s="5"/>
      <c r="W180" s="5"/>
    </row>
    <row r="181" spans="1:23" ht="15.75" customHeight="1">
      <c r="A181" s="33"/>
      <c r="B181" s="40" t="s">
        <v>155</v>
      </c>
      <c r="C181" s="41"/>
      <c r="D181" s="42"/>
      <c r="E181" s="43">
        <v>10000</v>
      </c>
      <c r="F181" s="40"/>
      <c r="G181" s="40"/>
      <c r="H181" s="40"/>
      <c r="I181" s="40"/>
      <c r="J181" s="40"/>
      <c r="K181" s="40"/>
      <c r="L181" s="40"/>
      <c r="M181" s="44"/>
      <c r="N181" s="40"/>
      <c r="O181" s="40"/>
      <c r="P181" s="40"/>
      <c r="Q181" s="46"/>
      <c r="R181" s="40"/>
      <c r="S181" s="47">
        <f>10000-F181-G181-H181-I181-J181-K181-L181-M181-N181-O181-P181-Q181</f>
        <v>10000</v>
      </c>
      <c r="T181" s="4"/>
      <c r="U181" s="4">
        <f t="shared" si="48"/>
        <v>0</v>
      </c>
      <c r="V181" s="5"/>
      <c r="W181" s="5"/>
    </row>
    <row r="182" spans="1:23" ht="15.75" customHeight="1">
      <c r="A182" s="33"/>
      <c r="B182" s="40" t="s">
        <v>162</v>
      </c>
      <c r="C182" s="41"/>
      <c r="D182" s="42"/>
      <c r="E182" s="43">
        <f>10000+40000</f>
        <v>50000</v>
      </c>
      <c r="F182" s="40"/>
      <c r="G182" s="40"/>
      <c r="H182" s="40"/>
      <c r="I182" s="44">
        <v>18260</v>
      </c>
      <c r="J182" s="40"/>
      <c r="K182" s="40">
        <f>7366</f>
        <v>7366</v>
      </c>
      <c r="L182" s="40"/>
      <c r="M182" s="44"/>
      <c r="N182" s="40"/>
      <c r="O182" s="44">
        <f>1000</f>
        <v>1000</v>
      </c>
      <c r="P182" s="44"/>
      <c r="Q182" s="46"/>
      <c r="R182" s="40"/>
      <c r="S182" s="47">
        <f>E182-F182-G182-H182-I182-J182-K182-L182-M182-N182-O182-P182-Q182</f>
        <v>23374</v>
      </c>
      <c r="T182" s="4"/>
      <c r="U182" s="4">
        <f t="shared" si="48"/>
        <v>26626</v>
      </c>
      <c r="V182" s="5"/>
      <c r="W182" s="5"/>
    </row>
    <row r="183" spans="1:23" ht="15.75" customHeight="1">
      <c r="A183" s="33"/>
      <c r="B183" s="40" t="s">
        <v>163</v>
      </c>
      <c r="C183" s="41"/>
      <c r="D183" s="42"/>
      <c r="E183" s="43">
        <v>10000</v>
      </c>
      <c r="F183" s="40"/>
      <c r="G183" s="40"/>
      <c r="H183" s="40"/>
      <c r="I183" s="40"/>
      <c r="J183" s="40"/>
      <c r="K183" s="40"/>
      <c r="L183" s="40"/>
      <c r="M183" s="44"/>
      <c r="N183" s="40"/>
      <c r="O183" s="40"/>
      <c r="P183" s="40"/>
      <c r="Q183" s="46"/>
      <c r="R183" s="40"/>
      <c r="S183" s="47">
        <f>10000-F183-G183-H183-I183-J183-K183-L183-M183-N183-O183-P183-Q183</f>
        <v>10000</v>
      </c>
      <c r="T183" s="4"/>
      <c r="U183" s="4">
        <f t="shared" si="48"/>
        <v>0</v>
      </c>
      <c r="V183" s="5"/>
      <c r="W183" s="5"/>
    </row>
    <row r="184" spans="1:23" ht="15.75" customHeight="1">
      <c r="A184" s="67"/>
      <c r="B184" s="49" t="s">
        <v>164</v>
      </c>
      <c r="C184" s="41"/>
      <c r="D184" s="57">
        <v>40000</v>
      </c>
      <c r="E184" s="43"/>
      <c r="F184" s="40"/>
      <c r="G184" s="40"/>
      <c r="H184" s="40"/>
      <c r="I184" s="40"/>
      <c r="J184" s="40"/>
      <c r="K184" s="40"/>
      <c r="L184" s="40"/>
      <c r="M184" s="44"/>
      <c r="N184" s="40"/>
      <c r="O184" s="40"/>
      <c r="P184" s="40"/>
      <c r="Q184" s="46"/>
      <c r="R184" s="40"/>
      <c r="S184" s="47"/>
      <c r="T184" s="4"/>
      <c r="U184" s="4">
        <f t="shared" si="48"/>
        <v>0</v>
      </c>
      <c r="V184" s="5"/>
      <c r="W184" s="5"/>
    </row>
    <row r="185" spans="1:23" ht="15.75" customHeight="1">
      <c r="A185" s="141"/>
      <c r="B185" s="141" t="s">
        <v>165</v>
      </c>
      <c r="C185" s="142"/>
      <c r="D185" s="50"/>
      <c r="E185" s="143">
        <v>80000</v>
      </c>
      <c r="F185" s="141"/>
      <c r="G185" s="141"/>
      <c r="H185" s="141"/>
      <c r="I185" s="141"/>
      <c r="J185" s="141"/>
      <c r="K185" s="141"/>
      <c r="L185" s="141"/>
      <c r="M185" s="144"/>
      <c r="N185" s="141"/>
      <c r="O185" s="141"/>
      <c r="P185" s="141"/>
      <c r="Q185" s="145"/>
      <c r="R185" s="141"/>
      <c r="S185" s="47">
        <f>80000-F185-G185-H185-I185-J185-K185-L185-M185-N185-O185-P185-Q185</f>
        <v>80000</v>
      </c>
      <c r="T185" s="4"/>
      <c r="U185" s="4">
        <f t="shared" si="48"/>
        <v>0</v>
      </c>
      <c r="V185" s="5"/>
      <c r="W185" s="5"/>
    </row>
    <row r="186" spans="1:23" ht="15.75" customHeight="1">
      <c r="A186" s="52" t="s">
        <v>101</v>
      </c>
      <c r="B186" s="53"/>
      <c r="C186" s="53"/>
      <c r="D186" s="53"/>
      <c r="E186" s="54"/>
      <c r="F186" s="55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9"/>
      <c r="T186" s="4"/>
      <c r="U186" s="4">
        <f t="shared" si="48"/>
        <v>0</v>
      </c>
      <c r="V186" s="5"/>
      <c r="W186" s="5"/>
    </row>
    <row r="187" spans="1:23" ht="15.75" customHeight="1">
      <c r="A187" s="33"/>
      <c r="B187" s="34" t="s">
        <v>102</v>
      </c>
      <c r="C187" s="67"/>
      <c r="D187" s="123"/>
      <c r="E187" s="36"/>
      <c r="F187" s="37"/>
      <c r="G187" s="37"/>
      <c r="H187" s="37"/>
      <c r="I187" s="37"/>
      <c r="J187" s="37"/>
      <c r="K187" s="37"/>
      <c r="L187" s="37"/>
      <c r="M187" s="51"/>
      <c r="N187" s="37"/>
      <c r="O187" s="37"/>
      <c r="P187" s="37"/>
      <c r="Q187" s="38"/>
      <c r="R187" s="37"/>
      <c r="S187" s="39"/>
      <c r="T187" s="4"/>
      <c r="U187" s="4">
        <f t="shared" si="48"/>
        <v>0</v>
      </c>
      <c r="V187" s="5"/>
      <c r="W187" s="5"/>
    </row>
    <row r="188" spans="1:23" ht="15.75" customHeight="1">
      <c r="A188" s="33"/>
      <c r="B188" s="40" t="s">
        <v>166</v>
      </c>
      <c r="C188" s="41"/>
      <c r="D188" s="57">
        <v>3185900</v>
      </c>
      <c r="E188" s="43"/>
      <c r="F188" s="40"/>
      <c r="G188" s="40"/>
      <c r="H188" s="40"/>
      <c r="I188" s="40"/>
      <c r="J188" s="40"/>
      <c r="K188" s="40"/>
      <c r="L188" s="40"/>
      <c r="M188" s="44"/>
      <c r="N188" s="40"/>
      <c r="O188" s="40"/>
      <c r="P188" s="40"/>
      <c r="Q188" s="46"/>
      <c r="R188" s="40"/>
      <c r="S188" s="47"/>
      <c r="T188" s="4"/>
      <c r="U188" s="4">
        <f t="shared" si="48"/>
        <v>0</v>
      </c>
      <c r="V188" s="5"/>
      <c r="W188" s="5"/>
    </row>
    <row r="189" spans="1:23" ht="15.75" customHeight="1">
      <c r="A189" s="33"/>
      <c r="B189" s="41"/>
      <c r="C189" s="59" t="s">
        <v>167</v>
      </c>
      <c r="D189" s="42"/>
      <c r="E189" s="43">
        <v>200000</v>
      </c>
      <c r="F189" s="40"/>
      <c r="G189" s="40"/>
      <c r="H189" s="40"/>
      <c r="I189" s="40"/>
      <c r="J189" s="40"/>
      <c r="K189" s="40"/>
      <c r="L189" s="40"/>
      <c r="M189" s="44">
        <v>200000</v>
      </c>
      <c r="N189" s="40"/>
      <c r="O189" s="40"/>
      <c r="P189" s="40"/>
      <c r="Q189" s="46"/>
      <c r="R189" s="40"/>
      <c r="S189" s="47">
        <f>200000-F189-G189-H189-I189-J189-K189-L189-M189-N189-O189-P189-Q189</f>
        <v>0</v>
      </c>
      <c r="T189" s="4"/>
      <c r="U189" s="4">
        <f t="shared" si="48"/>
        <v>200000</v>
      </c>
      <c r="V189" s="5"/>
      <c r="W189" s="5"/>
    </row>
    <row r="190" spans="1:23" ht="15.75" customHeight="1">
      <c r="A190" s="33"/>
      <c r="B190" s="41"/>
      <c r="C190" s="59" t="s">
        <v>168</v>
      </c>
      <c r="D190" s="42"/>
      <c r="E190" s="43">
        <v>400000</v>
      </c>
      <c r="F190" s="40"/>
      <c r="G190" s="40"/>
      <c r="H190" s="40"/>
      <c r="I190" s="40"/>
      <c r="J190" s="40"/>
      <c r="K190" s="40"/>
      <c r="L190" s="40"/>
      <c r="M190" s="44">
        <v>200000</v>
      </c>
      <c r="N190" s="40"/>
      <c r="O190" s="40"/>
      <c r="P190" s="40"/>
      <c r="Q190" s="46"/>
      <c r="R190" s="40"/>
      <c r="S190" s="47">
        <f>400000-F190-G190-H190-I190-J190-K190-L190-M190-N190-O190-P190-Q190</f>
        <v>200000</v>
      </c>
      <c r="T190" s="4"/>
      <c r="U190" s="4">
        <f t="shared" si="48"/>
        <v>200000</v>
      </c>
      <c r="V190" s="5"/>
      <c r="W190" s="5"/>
    </row>
    <row r="191" spans="1:23" ht="15.75" customHeight="1">
      <c r="A191" s="33"/>
      <c r="B191" s="41"/>
      <c r="C191" s="59" t="s">
        <v>169</v>
      </c>
      <c r="D191" s="42"/>
      <c r="E191" s="43">
        <f>500000-150000-250000-100000</f>
        <v>0</v>
      </c>
      <c r="F191" s="40"/>
      <c r="G191" s="40"/>
      <c r="H191" s="40"/>
      <c r="I191" s="40"/>
      <c r="J191" s="40"/>
      <c r="K191" s="40"/>
      <c r="L191" s="40"/>
      <c r="M191" s="44"/>
      <c r="N191" s="40"/>
      <c r="O191" s="40"/>
      <c r="P191" s="40"/>
      <c r="Q191" s="46"/>
      <c r="R191" s="40"/>
      <c r="S191" s="47">
        <f>E191-F191-G191-H191-I191-J191-K191-L191-M191-N191-O191-P191-Q191</f>
        <v>0</v>
      </c>
      <c r="T191" s="4"/>
      <c r="U191" s="4">
        <f t="shared" si="48"/>
        <v>0</v>
      </c>
      <c r="V191" s="5"/>
      <c r="W191" s="5"/>
    </row>
    <row r="192" spans="1:23" ht="15.75" customHeight="1">
      <c r="A192" s="33"/>
      <c r="B192" s="41"/>
      <c r="C192" s="59" t="s">
        <v>170</v>
      </c>
      <c r="D192" s="42"/>
      <c r="E192" s="43">
        <v>300000</v>
      </c>
      <c r="F192" s="40"/>
      <c r="G192" s="40"/>
      <c r="H192" s="40"/>
      <c r="I192" s="40"/>
      <c r="J192" s="40"/>
      <c r="K192" s="40"/>
      <c r="L192" s="40"/>
      <c r="M192" s="44"/>
      <c r="N192" s="40"/>
      <c r="O192" s="40"/>
      <c r="P192" s="40"/>
      <c r="Q192" s="46"/>
      <c r="R192" s="40"/>
      <c r="S192" s="47">
        <f>300000-F192-G192-H192-I192-J192-K192-L192-M192-N192-O192-P192-Q192</f>
        <v>300000</v>
      </c>
      <c r="T192" s="4"/>
      <c r="U192" s="4">
        <f t="shared" si="48"/>
        <v>0</v>
      </c>
      <c r="V192" s="5"/>
      <c r="W192" s="5"/>
    </row>
    <row r="193" spans="1:23" ht="15.75" customHeight="1">
      <c r="A193" s="33"/>
      <c r="B193" s="41"/>
      <c r="C193" s="59" t="s">
        <v>171</v>
      </c>
      <c r="D193" s="42"/>
      <c r="E193" s="43">
        <v>300000</v>
      </c>
      <c r="F193" s="40"/>
      <c r="G193" s="40"/>
      <c r="H193" s="40"/>
      <c r="I193" s="40"/>
      <c r="J193" s="40"/>
      <c r="K193" s="44">
        <v>300000</v>
      </c>
      <c r="L193" s="40"/>
      <c r="M193" s="44"/>
      <c r="N193" s="40"/>
      <c r="O193" s="40"/>
      <c r="P193" s="40"/>
      <c r="Q193" s="46"/>
      <c r="R193" s="40"/>
      <c r="S193" s="61">
        <f>E193-F193-G193-H193-I193-J193-K193-L193-M193-N193-O193-P193-Q193</f>
        <v>0</v>
      </c>
      <c r="T193" s="4"/>
      <c r="U193" s="4"/>
      <c r="V193" s="5"/>
      <c r="W193" s="5"/>
    </row>
    <row r="194" spans="1:23" ht="15.75" customHeight="1">
      <c r="A194" s="33"/>
      <c r="B194" s="41"/>
      <c r="C194" s="59" t="s">
        <v>172</v>
      </c>
      <c r="D194" s="42"/>
      <c r="E194" s="43">
        <v>160000</v>
      </c>
      <c r="F194" s="40"/>
      <c r="G194" s="40"/>
      <c r="H194" s="40"/>
      <c r="I194" s="40"/>
      <c r="J194" s="40"/>
      <c r="K194" s="40"/>
      <c r="L194" s="40"/>
      <c r="M194" s="44"/>
      <c r="N194" s="40"/>
      <c r="O194" s="40"/>
      <c r="P194" s="40"/>
      <c r="Q194" s="46"/>
      <c r="R194" s="40"/>
      <c r="S194" s="47">
        <f>160000-F194-G194-H194-I194-J194-K194-L194-M194-N194-O194-P194-Q194</f>
        <v>160000</v>
      </c>
      <c r="T194" s="4"/>
      <c r="U194" s="4">
        <f t="shared" ref="U194:U198" si="49">SUM(F194:Q194)</f>
        <v>0</v>
      </c>
      <c r="V194" s="5"/>
      <c r="W194" s="5"/>
    </row>
    <row r="195" spans="1:23" ht="15.75" customHeight="1">
      <c r="A195" s="33"/>
      <c r="B195" s="41"/>
      <c r="C195" s="59" t="s">
        <v>173</v>
      </c>
      <c r="D195" s="42"/>
      <c r="E195" s="43">
        <v>140000</v>
      </c>
      <c r="F195" s="40"/>
      <c r="G195" s="40"/>
      <c r="H195" s="40"/>
      <c r="I195" s="40"/>
      <c r="J195" s="40"/>
      <c r="K195" s="40"/>
      <c r="L195" s="44">
        <v>130000</v>
      </c>
      <c r="M195" s="44"/>
      <c r="N195" s="40"/>
      <c r="O195" s="40"/>
      <c r="P195" s="40"/>
      <c r="Q195" s="46"/>
      <c r="R195" s="40"/>
      <c r="S195" s="47">
        <f>140000-F195-G195-H195-I195-J195-K195-L195-M195-N195-O195-P195-Q195</f>
        <v>10000</v>
      </c>
      <c r="T195" s="4"/>
      <c r="U195" s="4">
        <f t="shared" si="49"/>
        <v>130000</v>
      </c>
      <c r="V195" s="5"/>
      <c r="W195" s="5"/>
    </row>
    <row r="196" spans="1:23" ht="15.75" customHeight="1">
      <c r="A196" s="33"/>
      <c r="B196" s="41"/>
      <c r="C196" s="59" t="s">
        <v>174</v>
      </c>
      <c r="D196" s="42"/>
      <c r="E196" s="43">
        <v>250000</v>
      </c>
      <c r="F196" s="40"/>
      <c r="G196" s="40"/>
      <c r="H196" s="40"/>
      <c r="I196" s="40"/>
      <c r="J196" s="40"/>
      <c r="K196" s="40"/>
      <c r="L196" s="40"/>
      <c r="M196" s="44"/>
      <c r="N196" s="40"/>
      <c r="O196" s="40"/>
      <c r="P196" s="40"/>
      <c r="Q196" s="46"/>
      <c r="R196" s="40"/>
      <c r="S196" s="47">
        <f>250000-F196-G196-H196-I196-J196-K196-L196-M196-N196-O196-P196-Q196</f>
        <v>250000</v>
      </c>
      <c r="T196" s="4"/>
      <c r="U196" s="4">
        <f t="shared" si="49"/>
        <v>0</v>
      </c>
      <c r="V196" s="5"/>
      <c r="W196" s="5"/>
    </row>
    <row r="197" spans="1:23" ht="15.75" customHeight="1">
      <c r="A197" s="33"/>
      <c r="B197" s="72"/>
      <c r="C197" s="73" t="s">
        <v>175</v>
      </c>
      <c r="D197" s="160"/>
      <c r="E197" s="43">
        <v>400000</v>
      </c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4"/>
      <c r="Q197" s="46"/>
      <c r="R197" s="40"/>
      <c r="S197" s="90">
        <f>400000-F197-G197-H197-I197-J197-K197-L197-M197-N197-O197-P197-Q197</f>
        <v>400000</v>
      </c>
      <c r="T197" s="4"/>
      <c r="U197" s="4">
        <f t="shared" si="49"/>
        <v>0</v>
      </c>
      <c r="V197" s="5"/>
      <c r="W197" s="5"/>
    </row>
    <row r="198" spans="1:23" ht="15.75" customHeight="1">
      <c r="A198" s="161"/>
      <c r="B198" s="162"/>
      <c r="C198" s="163" t="s">
        <v>176</v>
      </c>
      <c r="D198" s="164"/>
      <c r="E198" s="69">
        <v>225000</v>
      </c>
      <c r="F198" s="165"/>
      <c r="G198" s="40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90">
        <f>225000-F198-G198-H198-I198-J198-K198-L198-M198-N198-O198-P198-Q198</f>
        <v>225000</v>
      </c>
      <c r="T198" s="4"/>
      <c r="U198" s="4">
        <f t="shared" si="49"/>
        <v>0</v>
      </c>
      <c r="V198" s="5"/>
      <c r="W198" s="5"/>
    </row>
    <row r="199" spans="1:23" ht="15.75" customHeight="1">
      <c r="A199" s="161"/>
      <c r="B199" s="162"/>
      <c r="C199" s="163" t="s">
        <v>177</v>
      </c>
      <c r="D199" s="166"/>
      <c r="E199" s="117">
        <v>100000</v>
      </c>
      <c r="F199" s="165"/>
      <c r="G199" s="40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7"/>
      <c r="S199" s="115">
        <f t="shared" ref="S199:S205" si="50">E199-F199-G199-H199-I199-J199-K199-L199-M199-N199-O199-P199-Q199</f>
        <v>100000</v>
      </c>
      <c r="T199" s="4"/>
      <c r="U199" s="4"/>
      <c r="V199" s="5"/>
      <c r="W199" s="5"/>
    </row>
    <row r="200" spans="1:23" ht="15.75" customHeight="1">
      <c r="A200" s="161"/>
      <c r="B200" s="162"/>
      <c r="C200" s="163" t="s">
        <v>178</v>
      </c>
      <c r="D200" s="166"/>
      <c r="E200" s="168">
        <v>20000</v>
      </c>
      <c r="F200" s="165"/>
      <c r="G200" s="40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53"/>
      <c r="S200" s="140">
        <f t="shared" si="50"/>
        <v>20000</v>
      </c>
      <c r="T200" s="4"/>
      <c r="U200" s="4"/>
      <c r="V200" s="5"/>
      <c r="W200" s="5"/>
    </row>
    <row r="201" spans="1:23" ht="15.75" customHeight="1">
      <c r="A201" s="161"/>
      <c r="B201" s="166"/>
      <c r="C201" s="169" t="s">
        <v>179</v>
      </c>
      <c r="D201" s="167"/>
      <c r="E201" s="117">
        <v>100000</v>
      </c>
      <c r="F201" s="165"/>
      <c r="G201" s="40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7"/>
      <c r="S201" s="115">
        <f t="shared" si="50"/>
        <v>100000</v>
      </c>
      <c r="T201" s="4"/>
      <c r="U201" s="4"/>
      <c r="V201" s="5"/>
      <c r="W201" s="5"/>
    </row>
    <row r="202" spans="1:23" ht="15.75" customHeight="1">
      <c r="A202" s="161"/>
      <c r="B202" s="166"/>
      <c r="C202" s="80" t="s">
        <v>180</v>
      </c>
      <c r="D202" s="53"/>
      <c r="E202" s="168">
        <v>55000</v>
      </c>
      <c r="F202" s="165"/>
      <c r="G202" s="40"/>
      <c r="H202" s="165"/>
      <c r="I202" s="165"/>
      <c r="J202" s="165"/>
      <c r="K202" s="165"/>
      <c r="L202" s="170">
        <v>55000</v>
      </c>
      <c r="M202" s="165"/>
      <c r="N202" s="165"/>
      <c r="O202" s="165"/>
      <c r="P202" s="165"/>
      <c r="Q202" s="165"/>
      <c r="R202" s="53"/>
      <c r="S202" s="140">
        <f t="shared" si="50"/>
        <v>0</v>
      </c>
      <c r="T202" s="4"/>
      <c r="U202" s="4"/>
      <c r="V202" s="5"/>
      <c r="W202" s="5"/>
    </row>
    <row r="203" spans="1:23" ht="15.75" customHeight="1">
      <c r="A203" s="161"/>
      <c r="B203" s="166"/>
      <c r="C203" s="80" t="s">
        <v>181</v>
      </c>
      <c r="D203" s="53"/>
      <c r="E203" s="168">
        <v>150000</v>
      </c>
      <c r="F203" s="165"/>
      <c r="G203" s="40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53"/>
      <c r="S203" s="140">
        <f t="shared" si="50"/>
        <v>150000</v>
      </c>
      <c r="T203" s="4"/>
      <c r="U203" s="4"/>
      <c r="V203" s="5"/>
      <c r="W203" s="5"/>
    </row>
    <row r="204" spans="1:23" ht="15.75" customHeight="1">
      <c r="A204" s="161"/>
      <c r="B204" s="166"/>
      <c r="C204" s="80" t="s">
        <v>182</v>
      </c>
      <c r="D204" s="53"/>
      <c r="E204" s="168">
        <v>250000</v>
      </c>
      <c r="F204" s="165"/>
      <c r="G204" s="40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53"/>
      <c r="S204" s="140">
        <f t="shared" si="50"/>
        <v>250000</v>
      </c>
      <c r="T204" s="4"/>
      <c r="U204" s="4"/>
      <c r="V204" s="5"/>
      <c r="W204" s="5"/>
    </row>
    <row r="205" spans="1:23" ht="15.75" customHeight="1">
      <c r="A205" s="161"/>
      <c r="B205" s="166"/>
      <c r="C205" s="80" t="s">
        <v>183</v>
      </c>
      <c r="D205" s="53"/>
      <c r="E205" s="168">
        <v>100000</v>
      </c>
      <c r="F205" s="165"/>
      <c r="G205" s="40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53"/>
      <c r="S205" s="140">
        <f t="shared" si="50"/>
        <v>100000</v>
      </c>
      <c r="T205" s="4"/>
      <c r="U205" s="4"/>
      <c r="V205" s="5"/>
      <c r="W205" s="5"/>
    </row>
    <row r="206" spans="1:23" ht="15.75" customHeight="1">
      <c r="A206" s="52" t="s">
        <v>128</v>
      </c>
      <c r="B206" s="53"/>
      <c r="C206" s="171"/>
      <c r="D206" s="53"/>
      <c r="E206" s="172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173"/>
      <c r="R206" s="53"/>
      <c r="S206" s="140"/>
      <c r="T206" s="4"/>
      <c r="U206" s="4">
        <f t="shared" ref="U206:U251" si="51">SUM(F206:Q206)</f>
        <v>0</v>
      </c>
      <c r="V206" s="5"/>
      <c r="W206" s="5"/>
    </row>
    <row r="207" spans="1:23" ht="15.75" customHeight="1">
      <c r="A207" s="33"/>
      <c r="B207" s="155"/>
      <c r="C207" s="174" t="s">
        <v>184</v>
      </c>
      <c r="D207" s="175"/>
      <c r="E207" s="156"/>
      <c r="F207" s="138"/>
      <c r="G207" s="138"/>
      <c r="H207" s="138"/>
      <c r="I207" s="138"/>
      <c r="J207" s="138"/>
      <c r="K207" s="138"/>
      <c r="L207" s="138"/>
      <c r="M207" s="138"/>
      <c r="N207" s="138"/>
      <c r="O207" s="138"/>
      <c r="P207" s="138"/>
      <c r="Q207" s="139"/>
      <c r="R207" s="138"/>
      <c r="S207" s="140"/>
      <c r="T207" s="4"/>
      <c r="U207" s="4">
        <f t="shared" si="51"/>
        <v>0</v>
      </c>
      <c r="V207" s="5"/>
      <c r="W207" s="5"/>
    </row>
    <row r="208" spans="1:23" ht="15.75" customHeight="1">
      <c r="A208" s="33"/>
      <c r="B208" s="41"/>
      <c r="C208" s="59" t="s">
        <v>185</v>
      </c>
      <c r="D208" s="175"/>
      <c r="E208" s="43">
        <v>100000</v>
      </c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6"/>
      <c r="R208" s="40"/>
      <c r="S208" s="47">
        <f>100000-F208-G208-H208-I208-J208-K208-L208-M208-N208-O208-P208-Q208</f>
        <v>100000</v>
      </c>
      <c r="T208" s="26"/>
      <c r="U208" s="4">
        <f t="shared" si="51"/>
        <v>0</v>
      </c>
      <c r="V208" s="5"/>
      <c r="W208" s="5"/>
    </row>
    <row r="209" spans="1:23" ht="15.75" customHeight="1">
      <c r="A209" s="33"/>
      <c r="B209" s="41"/>
      <c r="C209" s="59" t="s">
        <v>186</v>
      </c>
      <c r="D209" s="175"/>
      <c r="E209" s="43">
        <v>200000</v>
      </c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6"/>
      <c r="R209" s="40"/>
      <c r="S209" s="47">
        <f>200000-F209-G209-H209-I209-J209-K209-L209-M209-N209-O209-P209-Q209</f>
        <v>200000</v>
      </c>
      <c r="T209" s="4"/>
      <c r="U209" s="4">
        <f t="shared" si="51"/>
        <v>0</v>
      </c>
      <c r="V209" s="27"/>
      <c r="W209" s="27"/>
    </row>
    <row r="210" spans="1:23" ht="15.75" customHeight="1">
      <c r="A210" s="33"/>
      <c r="B210" s="41"/>
      <c r="C210" s="59" t="s">
        <v>187</v>
      </c>
      <c r="D210" s="175"/>
      <c r="E210" s="143">
        <v>150000</v>
      </c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5"/>
      <c r="R210" s="141"/>
      <c r="S210" s="176">
        <f>150000-F210-G210-H210-I210-J210-K210-L210-M210-N210-O210-P210-Q210</f>
        <v>150000</v>
      </c>
      <c r="T210" s="4"/>
      <c r="U210" s="4">
        <f t="shared" si="51"/>
        <v>0</v>
      </c>
      <c r="V210" s="5"/>
      <c r="W210" s="5"/>
    </row>
    <row r="211" spans="1:23" ht="19.5" customHeight="1" thickBot="1">
      <c r="A211" s="177" t="s">
        <v>133</v>
      </c>
      <c r="B211" s="178"/>
      <c r="C211" s="178"/>
      <c r="D211" s="179"/>
      <c r="E211" s="180">
        <f t="shared" ref="E211:S211" si="52">SUM(E159:E210)</f>
        <v>5159300</v>
      </c>
      <c r="F211" s="181">
        <f t="shared" si="52"/>
        <v>76191.75</v>
      </c>
      <c r="G211" s="181">
        <f t="shared" si="52"/>
        <v>60235</v>
      </c>
      <c r="H211" s="181">
        <f t="shared" si="52"/>
        <v>60235</v>
      </c>
      <c r="I211" s="181">
        <f t="shared" si="52"/>
        <v>108294.39999999999</v>
      </c>
      <c r="J211" s="181">
        <f t="shared" si="52"/>
        <v>70325.75</v>
      </c>
      <c r="K211" s="181">
        <f t="shared" si="52"/>
        <v>388859</v>
      </c>
      <c r="L211" s="181">
        <f t="shared" si="52"/>
        <v>288015</v>
      </c>
      <c r="M211" s="181">
        <f t="shared" si="52"/>
        <v>531535</v>
      </c>
      <c r="N211" s="181">
        <f t="shared" si="52"/>
        <v>85470</v>
      </c>
      <c r="O211" s="181">
        <f t="shared" si="52"/>
        <v>1000</v>
      </c>
      <c r="P211" s="181">
        <f t="shared" si="52"/>
        <v>0</v>
      </c>
      <c r="Q211" s="181">
        <f t="shared" si="52"/>
        <v>0</v>
      </c>
      <c r="R211" s="181">
        <f t="shared" si="52"/>
        <v>0</v>
      </c>
      <c r="S211" s="182">
        <f t="shared" si="52"/>
        <v>3489139.1</v>
      </c>
      <c r="T211" s="131">
        <f>F211+G211+H211+I211+J211+K211+L211+M211+N211+O211+P211+Q211+S211</f>
        <v>5159300</v>
      </c>
      <c r="U211" s="4">
        <f t="shared" si="51"/>
        <v>1670160.9</v>
      </c>
      <c r="V211" s="5"/>
      <c r="W211" s="5"/>
    </row>
    <row r="212" spans="1:23" ht="27" customHeight="1" thickTop="1">
      <c r="A212" s="65"/>
      <c r="B212" s="65"/>
      <c r="C212" s="65"/>
      <c r="D212" s="65"/>
      <c r="E212" s="183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183"/>
      <c r="R212" s="65"/>
      <c r="S212" s="65"/>
      <c r="T212" s="4"/>
      <c r="U212" s="4">
        <f t="shared" si="51"/>
        <v>0</v>
      </c>
      <c r="V212" s="5"/>
      <c r="W212" s="5"/>
    </row>
    <row r="213" spans="1:23" ht="24.75" customHeight="1">
      <c r="A213" s="15" t="s">
        <v>188</v>
      </c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4"/>
      <c r="U213" s="4">
        <f t="shared" si="51"/>
        <v>0</v>
      </c>
      <c r="V213" s="5"/>
      <c r="W213" s="5"/>
    </row>
    <row r="214" spans="1:23" ht="15.75" customHeight="1">
      <c r="A214" s="17"/>
      <c r="B214" s="18"/>
      <c r="C214" s="18"/>
      <c r="D214" s="19"/>
      <c r="E214" s="148" t="s">
        <v>2</v>
      </c>
      <c r="F214" s="149" t="s">
        <v>3</v>
      </c>
      <c r="G214" s="149" t="s">
        <v>4</v>
      </c>
      <c r="H214" s="149" t="s">
        <v>5</v>
      </c>
      <c r="I214" s="149" t="s">
        <v>6</v>
      </c>
      <c r="J214" s="149" t="s">
        <v>7</v>
      </c>
      <c r="K214" s="149" t="s">
        <v>8</v>
      </c>
      <c r="L214" s="150" t="s">
        <v>9</v>
      </c>
      <c r="M214" s="149" t="s">
        <v>10</v>
      </c>
      <c r="N214" s="150" t="s">
        <v>11</v>
      </c>
      <c r="O214" s="149" t="s">
        <v>12</v>
      </c>
      <c r="P214" s="151" t="s">
        <v>13</v>
      </c>
      <c r="Q214" s="151" t="s">
        <v>14</v>
      </c>
      <c r="R214" s="152"/>
      <c r="S214" s="153" t="s">
        <v>15</v>
      </c>
      <c r="T214" s="4"/>
      <c r="U214" s="4">
        <f t="shared" si="51"/>
        <v>0</v>
      </c>
      <c r="V214" s="5"/>
      <c r="W214" s="5"/>
    </row>
    <row r="215" spans="1:23" ht="15.75" customHeight="1">
      <c r="A215" s="137" t="s">
        <v>189</v>
      </c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9"/>
      <c r="T215" s="4"/>
      <c r="U215" s="4">
        <f t="shared" si="51"/>
        <v>0</v>
      </c>
      <c r="V215" s="5"/>
      <c r="W215" s="5"/>
    </row>
    <row r="216" spans="1:23" ht="15.75" customHeight="1">
      <c r="A216" s="33"/>
      <c r="B216" s="154" t="s">
        <v>25</v>
      </c>
      <c r="C216" s="155"/>
      <c r="D216" s="56">
        <v>1060000</v>
      </c>
      <c r="E216" s="156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  <c r="P216" s="138"/>
      <c r="Q216" s="139"/>
      <c r="R216" s="138"/>
      <c r="S216" s="140"/>
      <c r="T216" s="4"/>
      <c r="U216" s="4">
        <f t="shared" si="51"/>
        <v>0</v>
      </c>
      <c r="V216" s="5"/>
      <c r="W216" s="5"/>
    </row>
    <row r="217" spans="1:23" ht="15.75" customHeight="1">
      <c r="A217" s="33"/>
      <c r="B217" s="40" t="s">
        <v>137</v>
      </c>
      <c r="C217" s="41"/>
      <c r="D217" s="42"/>
      <c r="E217" s="43">
        <f>100000-90000</f>
        <v>10000</v>
      </c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6"/>
      <c r="R217" s="40"/>
      <c r="S217" s="47">
        <f t="shared" ref="S217:S218" si="53">E217-F217-G217-H217-I217-J217-K217-L217-M217-N217-O217-P217-Q217</f>
        <v>10000</v>
      </c>
      <c r="T217" s="4"/>
      <c r="U217" s="4">
        <f t="shared" si="51"/>
        <v>0</v>
      </c>
      <c r="V217" s="5"/>
      <c r="W217" s="5"/>
    </row>
    <row r="218" spans="1:23" ht="15.75" customHeight="1">
      <c r="A218" s="33"/>
      <c r="B218" s="40" t="s">
        <v>190</v>
      </c>
      <c r="C218" s="41"/>
      <c r="D218" s="42"/>
      <c r="E218" s="43">
        <f>42000-40000</f>
        <v>2000</v>
      </c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6"/>
      <c r="R218" s="40"/>
      <c r="S218" s="47">
        <f t="shared" si="53"/>
        <v>2000</v>
      </c>
      <c r="T218" s="4"/>
      <c r="U218" s="4">
        <f t="shared" si="51"/>
        <v>0</v>
      </c>
      <c r="V218" s="5"/>
      <c r="W218" s="5"/>
    </row>
    <row r="219" spans="1:23" ht="15.75" customHeight="1">
      <c r="A219" s="33"/>
      <c r="B219" s="40" t="s">
        <v>157</v>
      </c>
      <c r="C219" s="41"/>
      <c r="D219" s="42"/>
      <c r="E219" s="43">
        <v>930000</v>
      </c>
      <c r="F219" s="44">
        <v>42250</v>
      </c>
      <c r="G219" s="44">
        <v>42250</v>
      </c>
      <c r="H219" s="44">
        <v>53307</v>
      </c>
      <c r="I219" s="44">
        <v>42250</v>
      </c>
      <c r="J219" s="44">
        <v>48000</v>
      </c>
      <c r="K219" s="44">
        <v>53750</v>
      </c>
      <c r="L219" s="44">
        <v>53750</v>
      </c>
      <c r="M219" s="44">
        <v>53750</v>
      </c>
      <c r="N219" s="44">
        <v>65250</v>
      </c>
      <c r="O219" s="44"/>
      <c r="P219" s="44"/>
      <c r="Q219" s="46"/>
      <c r="R219" s="40"/>
      <c r="S219" s="47">
        <f>930000-F219-G219-H219-I219-J219-K219-L219-M219-N219-O219-P219-Q219</f>
        <v>475443</v>
      </c>
      <c r="T219" s="4"/>
      <c r="U219" s="4">
        <f t="shared" si="51"/>
        <v>454557</v>
      </c>
      <c r="V219" s="5"/>
      <c r="W219" s="5"/>
    </row>
    <row r="220" spans="1:23" ht="15.75" customHeight="1">
      <c r="A220" s="33"/>
      <c r="B220" s="141" t="s">
        <v>158</v>
      </c>
      <c r="C220" s="142"/>
      <c r="D220" s="50"/>
      <c r="E220" s="143">
        <v>130000</v>
      </c>
      <c r="F220" s="144">
        <v>7000</v>
      </c>
      <c r="G220" s="144">
        <v>7000</v>
      </c>
      <c r="H220" s="144">
        <v>8785</v>
      </c>
      <c r="I220" s="144">
        <v>7000</v>
      </c>
      <c r="J220" s="144">
        <v>7893</v>
      </c>
      <c r="K220" s="144">
        <v>8785</v>
      </c>
      <c r="L220" s="144">
        <v>8785</v>
      </c>
      <c r="M220" s="144">
        <v>8785</v>
      </c>
      <c r="N220" s="144">
        <v>10570</v>
      </c>
      <c r="O220" s="144"/>
      <c r="P220" s="144"/>
      <c r="Q220" s="145"/>
      <c r="R220" s="141"/>
      <c r="S220" s="47">
        <f>130000-F220-G220-H220-I220-J220-K220-L220-M220-N220-O220-P220-Q220</f>
        <v>55397</v>
      </c>
      <c r="T220" s="4"/>
      <c r="U220" s="4">
        <f t="shared" si="51"/>
        <v>74603</v>
      </c>
      <c r="V220" s="5"/>
      <c r="W220" s="5"/>
    </row>
    <row r="221" spans="1:23" ht="15.75" customHeight="1">
      <c r="A221" s="52" t="s">
        <v>142</v>
      </c>
      <c r="B221" s="53"/>
      <c r="C221" s="53"/>
      <c r="D221" s="53"/>
      <c r="E221" s="54"/>
      <c r="F221" s="55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9"/>
      <c r="T221" s="4"/>
      <c r="U221" s="4">
        <f t="shared" si="51"/>
        <v>0</v>
      </c>
      <c r="V221" s="5"/>
      <c r="W221" s="5"/>
    </row>
    <row r="222" spans="1:23" ht="15.75" customHeight="1">
      <c r="A222" s="33"/>
      <c r="B222" s="154" t="s">
        <v>33</v>
      </c>
      <c r="C222" s="155"/>
      <c r="D222" s="56">
        <v>120000</v>
      </c>
      <c r="E222" s="156"/>
      <c r="F222" s="138"/>
      <c r="G222" s="138"/>
      <c r="H222" s="138"/>
      <c r="I222" s="138"/>
      <c r="J222" s="138"/>
      <c r="K222" s="138"/>
      <c r="L222" s="138"/>
      <c r="M222" s="138"/>
      <c r="N222" s="138"/>
      <c r="O222" s="138"/>
      <c r="P222" s="138"/>
      <c r="Q222" s="139"/>
      <c r="R222" s="138"/>
      <c r="S222" s="140"/>
      <c r="T222" s="4"/>
      <c r="U222" s="4">
        <f t="shared" si="51"/>
        <v>0</v>
      </c>
      <c r="V222" s="5"/>
      <c r="W222" s="5"/>
    </row>
    <row r="223" spans="1:23" ht="15.75" customHeight="1">
      <c r="A223" s="33"/>
      <c r="B223" s="40" t="s">
        <v>143</v>
      </c>
      <c r="C223" s="41"/>
      <c r="D223" s="42"/>
      <c r="E223" s="43">
        <f>10000-4300</f>
        <v>5700</v>
      </c>
      <c r="F223" s="40"/>
      <c r="G223" s="40"/>
      <c r="H223" s="40"/>
      <c r="I223" s="40"/>
      <c r="J223" s="40"/>
      <c r="K223" s="44">
        <v>5700</v>
      </c>
      <c r="L223" s="40"/>
      <c r="M223" s="44"/>
      <c r="N223" s="40"/>
      <c r="O223" s="40"/>
      <c r="P223" s="40"/>
      <c r="Q223" s="46"/>
      <c r="R223" s="40"/>
      <c r="S223" s="47">
        <f>E223-F223-G223-H223-I223-J223-K223-L223-M223-N223-O223-P223-Q223</f>
        <v>0</v>
      </c>
      <c r="T223" s="4"/>
      <c r="U223" s="4">
        <f t="shared" si="51"/>
        <v>5700</v>
      </c>
      <c r="V223" s="5"/>
      <c r="W223" s="5"/>
    </row>
    <row r="224" spans="1:23" ht="15.75" customHeight="1">
      <c r="A224" s="33"/>
      <c r="B224" s="40" t="s">
        <v>144</v>
      </c>
      <c r="C224" s="41"/>
      <c r="D224" s="42"/>
      <c r="E224" s="43">
        <v>10000</v>
      </c>
      <c r="F224" s="40"/>
      <c r="G224" s="40"/>
      <c r="H224" s="40"/>
      <c r="I224" s="40"/>
      <c r="J224" s="40"/>
      <c r="K224" s="40"/>
      <c r="L224" s="44">
        <v>8640</v>
      </c>
      <c r="M224" s="40"/>
      <c r="N224" s="40"/>
      <c r="O224" s="40"/>
      <c r="P224" s="40"/>
      <c r="Q224" s="46"/>
      <c r="R224" s="40"/>
      <c r="S224" s="47">
        <f>10000-F224-G224-H224-I224-J224-K224-L224-M224-N224-O224-P224-Q224</f>
        <v>1360</v>
      </c>
      <c r="T224" s="4"/>
      <c r="U224" s="4">
        <f t="shared" si="51"/>
        <v>8640</v>
      </c>
      <c r="V224" s="5"/>
      <c r="W224" s="5"/>
    </row>
    <row r="225" spans="1:23" ht="15.75" customHeight="1">
      <c r="A225" s="33"/>
      <c r="B225" s="44" t="s">
        <v>145</v>
      </c>
      <c r="C225" s="41"/>
      <c r="D225" s="42"/>
      <c r="E225" s="43">
        <v>30000</v>
      </c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6"/>
      <c r="R225" s="40"/>
      <c r="S225" s="47">
        <f>30000-F225-G225-H225-I225-J225-K225-L225-M225-N225-O225-P225-Q225</f>
        <v>30000</v>
      </c>
      <c r="T225" s="4"/>
      <c r="U225" s="4">
        <f t="shared" si="51"/>
        <v>0</v>
      </c>
      <c r="V225" s="5"/>
      <c r="W225" s="5"/>
    </row>
    <row r="226" spans="1:23" ht="15.75" customHeight="1">
      <c r="A226" s="33"/>
      <c r="B226" s="49" t="s">
        <v>38</v>
      </c>
      <c r="C226" s="41"/>
      <c r="D226" s="57">
        <v>506000</v>
      </c>
      <c r="E226" s="43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6"/>
      <c r="R226" s="40"/>
      <c r="S226" s="47"/>
      <c r="T226" s="4"/>
      <c r="U226" s="4">
        <f t="shared" si="51"/>
        <v>0</v>
      </c>
      <c r="V226" s="5"/>
      <c r="W226" s="5"/>
    </row>
    <row r="227" spans="1:23" ht="15.75" customHeight="1">
      <c r="A227" s="33"/>
      <c r="B227" s="184">
        <v>2.4</v>
      </c>
      <c r="C227" s="58" t="s">
        <v>191</v>
      </c>
      <c r="D227" s="42"/>
      <c r="E227" s="43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6"/>
      <c r="R227" s="40"/>
      <c r="S227" s="47"/>
      <c r="T227" s="4"/>
      <c r="U227" s="4">
        <f t="shared" si="51"/>
        <v>0</v>
      </c>
      <c r="V227" s="5"/>
      <c r="W227" s="5"/>
    </row>
    <row r="228" spans="1:23" ht="15.75" customHeight="1">
      <c r="A228" s="33"/>
      <c r="B228" s="41"/>
      <c r="C228" s="58" t="s">
        <v>40</v>
      </c>
      <c r="D228" s="42"/>
      <c r="E228" s="43">
        <v>30000</v>
      </c>
      <c r="F228" s="40"/>
      <c r="G228" s="40"/>
      <c r="H228" s="40"/>
      <c r="I228" s="40"/>
      <c r="J228" s="40"/>
      <c r="K228" s="40">
        <f>1200</f>
        <v>1200</v>
      </c>
      <c r="L228" s="40"/>
      <c r="M228" s="40">
        <f>1512</f>
        <v>1512</v>
      </c>
      <c r="N228" s="40"/>
      <c r="O228" s="40"/>
      <c r="P228" s="44"/>
      <c r="Q228" s="46"/>
      <c r="R228" s="40"/>
      <c r="S228" s="47">
        <f>30000-F228-G228-H228-I228-J228-K228-L228-M228-N228-O228-P228-Q228</f>
        <v>27288</v>
      </c>
      <c r="T228" s="4"/>
      <c r="U228" s="4">
        <f t="shared" si="51"/>
        <v>2712</v>
      </c>
      <c r="V228" s="5"/>
      <c r="W228" s="5"/>
    </row>
    <row r="229" spans="1:23" ht="15.75" customHeight="1">
      <c r="A229" s="33"/>
      <c r="B229" s="72"/>
      <c r="C229" s="158" t="s">
        <v>192</v>
      </c>
      <c r="D229" s="42"/>
      <c r="E229" s="43">
        <f>108000+216000</f>
        <v>324000</v>
      </c>
      <c r="F229" s="185"/>
      <c r="G229" s="40">
        <f>9000+9000+9000</f>
        <v>27000</v>
      </c>
      <c r="H229" s="40">
        <f>9000+9000+9000+6300</f>
        <v>33300</v>
      </c>
      <c r="I229" s="40"/>
      <c r="J229" s="40">
        <f>9000+9000</f>
        <v>18000</v>
      </c>
      <c r="K229" s="44">
        <f>9000+9000+9000</f>
        <v>27000</v>
      </c>
      <c r="L229" s="40">
        <f>9000+9000+9000+9000+9000+9000</f>
        <v>54000</v>
      </c>
      <c r="M229" s="40"/>
      <c r="N229" s="40">
        <f t="shared" ref="N229:O229" si="54">9000+9000+9000</f>
        <v>27000</v>
      </c>
      <c r="O229" s="44">
        <f t="shared" si="54"/>
        <v>27000</v>
      </c>
      <c r="P229" s="40"/>
      <c r="Q229" s="46"/>
      <c r="R229" s="40"/>
      <c r="S229" s="47">
        <f>E229-F229-G229-H229-I229-J229-K229-L229-M229-N229-O229-P229-Q229</f>
        <v>110700</v>
      </c>
      <c r="T229" s="4"/>
      <c r="U229" s="4">
        <f t="shared" si="51"/>
        <v>213300</v>
      </c>
      <c r="V229" s="5"/>
      <c r="W229" s="5"/>
    </row>
    <row r="230" spans="1:23" ht="15.75" customHeight="1">
      <c r="A230" s="63"/>
      <c r="B230" s="186" t="s">
        <v>193</v>
      </c>
      <c r="C230" s="187"/>
      <c r="D230" s="188"/>
      <c r="E230" s="189">
        <v>108000</v>
      </c>
      <c r="F230" s="190"/>
      <c r="G230" s="190">
        <f>9000</f>
        <v>9000</v>
      </c>
      <c r="H230" s="190">
        <f>9000+9000</f>
        <v>18000</v>
      </c>
      <c r="I230" s="190"/>
      <c r="J230" s="190">
        <f>9000</f>
        <v>9000</v>
      </c>
      <c r="K230" s="191">
        <v>9000</v>
      </c>
      <c r="L230" s="191">
        <f>9000+9000</f>
        <v>18000</v>
      </c>
      <c r="M230" s="190"/>
      <c r="N230" s="190">
        <f>9000</f>
        <v>9000</v>
      </c>
      <c r="O230" s="191">
        <v>9000</v>
      </c>
      <c r="P230" s="190"/>
      <c r="Q230" s="192"/>
      <c r="R230" s="190"/>
      <c r="S230" s="47">
        <f>108000-F230-G230-H230-I230-J230-K230-L230-M230-N230-O230-P230-Q230</f>
        <v>27000</v>
      </c>
      <c r="T230" s="4"/>
      <c r="U230" s="4">
        <f t="shared" si="51"/>
        <v>81000</v>
      </c>
      <c r="V230" s="5"/>
      <c r="W230" s="5"/>
    </row>
    <row r="231" spans="1:23" ht="15.75" customHeight="1">
      <c r="A231" s="33"/>
      <c r="B231" s="193" t="s">
        <v>194</v>
      </c>
      <c r="C231" s="159"/>
      <c r="D231" s="188"/>
      <c r="E231" s="189"/>
      <c r="F231" s="190"/>
      <c r="G231" s="190"/>
      <c r="H231" s="190"/>
      <c r="I231" s="190"/>
      <c r="J231" s="190"/>
      <c r="K231" s="190"/>
      <c r="L231" s="190"/>
      <c r="M231" s="190"/>
      <c r="N231" s="190"/>
      <c r="O231" s="190"/>
      <c r="P231" s="190"/>
      <c r="Q231" s="192"/>
      <c r="R231" s="190"/>
      <c r="S231" s="47"/>
      <c r="T231" s="4"/>
      <c r="U231" s="4">
        <f t="shared" si="51"/>
        <v>0</v>
      </c>
      <c r="V231" s="5"/>
      <c r="W231" s="5"/>
    </row>
    <row r="232" spans="1:23" ht="15.75" customHeight="1">
      <c r="A232" s="33"/>
      <c r="B232" s="41"/>
      <c r="C232" s="58" t="s">
        <v>52</v>
      </c>
      <c r="D232" s="42"/>
      <c r="E232" s="43">
        <v>40000</v>
      </c>
      <c r="F232" s="40"/>
      <c r="G232" s="40"/>
      <c r="H232" s="40"/>
      <c r="I232" s="40"/>
      <c r="J232" s="44" t="s">
        <v>195</v>
      </c>
      <c r="K232" s="40"/>
      <c r="L232" s="40"/>
      <c r="M232" s="40"/>
      <c r="N232" s="40"/>
      <c r="O232" s="40"/>
      <c r="P232" s="40"/>
      <c r="Q232" s="46"/>
      <c r="R232" s="40"/>
      <c r="S232" s="61">
        <v>40000</v>
      </c>
      <c r="T232" s="4"/>
      <c r="U232" s="4">
        <f t="shared" si="51"/>
        <v>0</v>
      </c>
      <c r="V232" s="5"/>
      <c r="W232" s="5"/>
    </row>
    <row r="233" spans="1:23" ht="15.75" customHeight="1">
      <c r="A233" s="33"/>
      <c r="B233" s="41"/>
      <c r="C233" s="58" t="s">
        <v>196</v>
      </c>
      <c r="D233" s="42"/>
      <c r="E233" s="43">
        <v>40000</v>
      </c>
      <c r="F233" s="40"/>
      <c r="G233" s="40"/>
      <c r="H233" s="40"/>
      <c r="I233" s="40"/>
      <c r="J233" s="40"/>
      <c r="K233" s="40"/>
      <c r="L233" s="40">
        <f>32430+1200</f>
        <v>33630</v>
      </c>
      <c r="M233" s="40">
        <f>4000+2000</f>
        <v>6000</v>
      </c>
      <c r="N233" s="40"/>
      <c r="O233" s="40"/>
      <c r="P233" s="40"/>
      <c r="Q233" s="46"/>
      <c r="R233" s="40"/>
      <c r="S233" s="47">
        <f t="shared" ref="S233:S234" si="55">40000-F233-G233-H233-I233-J233-K233-L233-M233-N233-O233-P233-Q233</f>
        <v>370</v>
      </c>
      <c r="T233" s="4"/>
      <c r="U233" s="4">
        <f t="shared" si="51"/>
        <v>39630</v>
      </c>
      <c r="V233" s="5"/>
      <c r="W233" s="5"/>
    </row>
    <row r="234" spans="1:23" ht="15.75" customHeight="1">
      <c r="A234" s="33"/>
      <c r="B234" s="41"/>
      <c r="C234" s="58" t="s">
        <v>197</v>
      </c>
      <c r="D234" s="42"/>
      <c r="E234" s="43">
        <v>40000</v>
      </c>
      <c r="F234" s="40"/>
      <c r="G234" s="40"/>
      <c r="H234" s="40"/>
      <c r="I234" s="40"/>
      <c r="J234" s="40"/>
      <c r="K234" s="40"/>
      <c r="L234" s="40"/>
      <c r="M234" s="40"/>
      <c r="N234" s="40">
        <f>26800+900+5500+2750</f>
        <v>35950</v>
      </c>
      <c r="O234" s="44"/>
      <c r="P234" s="40"/>
      <c r="Q234" s="46"/>
      <c r="R234" s="40"/>
      <c r="S234" s="47">
        <f t="shared" si="55"/>
        <v>4050</v>
      </c>
      <c r="T234" s="4"/>
      <c r="U234" s="4">
        <f t="shared" si="51"/>
        <v>35950</v>
      </c>
      <c r="V234" s="194"/>
      <c r="W234" s="5"/>
    </row>
    <row r="235" spans="1:23" ht="15.75" customHeight="1">
      <c r="A235" s="33"/>
      <c r="B235" s="41"/>
      <c r="C235" s="58" t="s">
        <v>198</v>
      </c>
      <c r="D235" s="42"/>
      <c r="E235" s="43">
        <v>30000</v>
      </c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6"/>
      <c r="R235" s="40"/>
      <c r="S235" s="47">
        <f>30000-F235-G235-H235-I235-J235-K235-L235-M235-N235-O235-P235-Q235</f>
        <v>30000</v>
      </c>
      <c r="T235" s="4"/>
      <c r="U235" s="4">
        <f t="shared" si="51"/>
        <v>0</v>
      </c>
      <c r="V235" s="5"/>
      <c r="W235" s="5"/>
    </row>
    <row r="236" spans="1:23" ht="15.75" customHeight="1">
      <c r="A236" s="33"/>
      <c r="B236" s="41"/>
      <c r="C236" s="158" t="s">
        <v>199</v>
      </c>
      <c r="D236" s="42"/>
      <c r="E236" s="43">
        <v>20000</v>
      </c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6"/>
      <c r="R236" s="40"/>
      <c r="S236" s="47">
        <f t="shared" ref="S236:S239" si="56">20000-F236-G236-H236-I236-J236-K236-L236-M236-N236-O236-P236-Q236</f>
        <v>20000</v>
      </c>
      <c r="T236" s="4"/>
      <c r="U236" s="4">
        <f t="shared" si="51"/>
        <v>0</v>
      </c>
      <c r="V236" s="5"/>
      <c r="W236" s="5"/>
    </row>
    <row r="237" spans="1:23" ht="15.75" customHeight="1">
      <c r="A237" s="33"/>
      <c r="B237" s="41"/>
      <c r="C237" s="63" t="s">
        <v>200</v>
      </c>
      <c r="D237" s="42"/>
      <c r="E237" s="43">
        <v>20000</v>
      </c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6"/>
      <c r="R237" s="40"/>
      <c r="S237" s="47">
        <f t="shared" si="56"/>
        <v>20000</v>
      </c>
      <c r="T237" s="4"/>
      <c r="U237" s="4">
        <f t="shared" si="51"/>
        <v>0</v>
      </c>
      <c r="V237" s="194"/>
      <c r="W237" s="194"/>
    </row>
    <row r="238" spans="1:23" ht="15.75" customHeight="1">
      <c r="A238" s="33"/>
      <c r="B238" s="41"/>
      <c r="C238" s="159" t="s">
        <v>201</v>
      </c>
      <c r="D238" s="42"/>
      <c r="E238" s="43">
        <v>20000</v>
      </c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6"/>
      <c r="R238" s="40"/>
      <c r="S238" s="47">
        <f t="shared" si="56"/>
        <v>20000</v>
      </c>
      <c r="T238" s="4"/>
      <c r="U238" s="4">
        <f t="shared" si="51"/>
        <v>0</v>
      </c>
      <c r="V238" s="5"/>
      <c r="W238" s="5"/>
    </row>
    <row r="239" spans="1:23" ht="15.75" customHeight="1">
      <c r="A239" s="33"/>
      <c r="B239" s="41"/>
      <c r="C239" s="58" t="s">
        <v>202</v>
      </c>
      <c r="D239" s="42"/>
      <c r="E239" s="43">
        <v>20000</v>
      </c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6"/>
      <c r="R239" s="40"/>
      <c r="S239" s="47">
        <f t="shared" si="56"/>
        <v>20000</v>
      </c>
      <c r="T239" s="26"/>
      <c r="U239" s="4">
        <f t="shared" si="51"/>
        <v>0</v>
      </c>
      <c r="V239" s="5"/>
      <c r="W239" s="5"/>
    </row>
    <row r="240" spans="1:23" ht="15.75" customHeight="1">
      <c r="A240" s="33"/>
      <c r="B240" s="41"/>
      <c r="C240" s="58" t="s">
        <v>203</v>
      </c>
      <c r="D240" s="42"/>
      <c r="E240" s="43">
        <f>30000-30000</f>
        <v>0</v>
      </c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6"/>
      <c r="R240" s="40"/>
      <c r="S240" s="47">
        <f t="shared" ref="S240:S242" si="57">E240-F240-G240-H240-I240-J240-K240-L240-M240-N240-O240-P240-Q240</f>
        <v>0</v>
      </c>
      <c r="T240" s="4"/>
      <c r="U240" s="4">
        <f t="shared" si="51"/>
        <v>0</v>
      </c>
      <c r="V240" s="27"/>
      <c r="W240" s="27"/>
    </row>
    <row r="241" spans="1:23" ht="15.75" customHeight="1">
      <c r="A241" s="33"/>
      <c r="B241" s="41"/>
      <c r="C241" s="58" t="s">
        <v>204</v>
      </c>
      <c r="D241" s="42"/>
      <c r="E241" s="43">
        <f>70000-70000</f>
        <v>0</v>
      </c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6"/>
      <c r="R241" s="40"/>
      <c r="S241" s="47">
        <f t="shared" si="57"/>
        <v>0</v>
      </c>
      <c r="T241" s="4"/>
      <c r="U241" s="4">
        <f t="shared" si="51"/>
        <v>0</v>
      </c>
      <c r="V241" s="5"/>
      <c r="W241" s="5"/>
    </row>
    <row r="242" spans="1:23" ht="15.75" customHeight="1">
      <c r="A242" s="33"/>
      <c r="B242" s="41"/>
      <c r="C242" s="58" t="s">
        <v>205</v>
      </c>
      <c r="D242" s="42"/>
      <c r="E242" s="43">
        <f>60000-60000</f>
        <v>0</v>
      </c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6"/>
      <c r="R242" s="40"/>
      <c r="S242" s="47">
        <f t="shared" si="57"/>
        <v>0</v>
      </c>
      <c r="T242" s="4"/>
      <c r="U242" s="4">
        <f t="shared" si="51"/>
        <v>0</v>
      </c>
      <c r="V242" s="5"/>
      <c r="W242" s="5"/>
    </row>
    <row r="243" spans="1:23" ht="15.75" customHeight="1">
      <c r="A243" s="33"/>
      <c r="B243" s="41"/>
      <c r="C243" s="58" t="s">
        <v>206</v>
      </c>
      <c r="D243" s="42"/>
      <c r="E243" s="43">
        <v>50000</v>
      </c>
      <c r="F243" s="40"/>
      <c r="G243" s="40">
        <f>2500</f>
        <v>2500</v>
      </c>
      <c r="H243" s="40"/>
      <c r="I243" s="40"/>
      <c r="J243" s="40"/>
      <c r="K243" s="40">
        <f>1450</f>
        <v>1450</v>
      </c>
      <c r="L243" s="40"/>
      <c r="M243" s="40"/>
      <c r="N243" s="40"/>
      <c r="O243" s="40"/>
      <c r="P243" s="44"/>
      <c r="Q243" s="46"/>
      <c r="R243" s="40"/>
      <c r="S243" s="47">
        <f>50000-F243-G243-H243-I243-J243-K243-L243-M243-N243-O243-P243-Q243</f>
        <v>46050</v>
      </c>
      <c r="T243" s="4"/>
      <c r="U243" s="4">
        <f t="shared" si="51"/>
        <v>3950</v>
      </c>
      <c r="V243" s="5"/>
      <c r="W243" s="5"/>
    </row>
    <row r="244" spans="1:23" ht="15.75" customHeight="1">
      <c r="A244" s="33"/>
      <c r="B244" s="62" t="s">
        <v>81</v>
      </c>
      <c r="C244" s="58"/>
      <c r="D244" s="57">
        <v>280000</v>
      </c>
      <c r="E244" s="43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6"/>
      <c r="R244" s="40"/>
      <c r="S244" s="47"/>
      <c r="T244" s="4"/>
      <c r="U244" s="4">
        <f t="shared" si="51"/>
        <v>0</v>
      </c>
      <c r="V244" s="5"/>
      <c r="W244" s="5"/>
    </row>
    <row r="245" spans="1:23" ht="15.75" customHeight="1">
      <c r="A245" s="33"/>
      <c r="B245" s="41" t="s">
        <v>207</v>
      </c>
      <c r="C245" s="58"/>
      <c r="D245" s="42"/>
      <c r="E245" s="43">
        <f>20000-10000</f>
        <v>10000</v>
      </c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6"/>
      <c r="R245" s="40"/>
      <c r="S245" s="47">
        <f>E245-F245-G245-H245-I245-J245-K245-L245-M245-N245-O245-P245-Q245</f>
        <v>10000</v>
      </c>
      <c r="T245" s="4"/>
      <c r="U245" s="4">
        <f t="shared" si="51"/>
        <v>0</v>
      </c>
      <c r="V245" s="5"/>
      <c r="W245" s="5"/>
    </row>
    <row r="246" spans="1:23" ht="15.75" customHeight="1">
      <c r="A246" s="33"/>
      <c r="B246" s="41" t="s">
        <v>208</v>
      </c>
      <c r="C246" s="58"/>
      <c r="D246" s="42"/>
      <c r="E246" s="43">
        <v>50000</v>
      </c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4"/>
      <c r="Q246" s="46"/>
      <c r="R246" s="40"/>
      <c r="S246" s="47">
        <f>50000-F246-G246-H246-I246-J246-K246-L246-M246-N246-O246-P246-Q246</f>
        <v>50000</v>
      </c>
      <c r="T246" s="4"/>
      <c r="U246" s="4">
        <f t="shared" si="51"/>
        <v>0</v>
      </c>
      <c r="V246" s="5"/>
      <c r="W246" s="5"/>
    </row>
    <row r="247" spans="1:23" ht="15.75" customHeight="1">
      <c r="A247" s="33"/>
      <c r="B247" s="41" t="s">
        <v>209</v>
      </c>
      <c r="C247" s="58"/>
      <c r="D247" s="42"/>
      <c r="E247" s="43">
        <f>50000+70000</f>
        <v>120000</v>
      </c>
      <c r="F247" s="40"/>
      <c r="G247" s="40"/>
      <c r="H247" s="40"/>
      <c r="I247" s="40">
        <f>37782.5</f>
        <v>37782.5</v>
      </c>
      <c r="J247" s="40"/>
      <c r="K247" s="40">
        <f>32345.43</f>
        <v>32345.43</v>
      </c>
      <c r="L247" s="40"/>
      <c r="M247" s="40"/>
      <c r="N247" s="40"/>
      <c r="O247" s="44"/>
      <c r="P247" s="44"/>
      <c r="Q247" s="46"/>
      <c r="R247" s="40"/>
      <c r="S247" s="47">
        <f>E247-F247-G247-H247-I247-J247-K247-L247-M247-N247-O247-P247-Q247</f>
        <v>49872.07</v>
      </c>
      <c r="T247" s="4"/>
      <c r="U247" s="4">
        <f t="shared" si="51"/>
        <v>70127.929999999993</v>
      </c>
      <c r="V247" s="5"/>
      <c r="W247" s="5"/>
    </row>
    <row r="248" spans="1:23" ht="15.75" customHeight="1">
      <c r="A248" s="33"/>
      <c r="B248" s="64" t="s">
        <v>210</v>
      </c>
      <c r="C248" s="58"/>
      <c r="D248" s="42"/>
      <c r="E248" s="43">
        <v>10000</v>
      </c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4"/>
      <c r="Q248" s="46"/>
      <c r="R248" s="40"/>
      <c r="S248" s="47">
        <f>10000-F248-G248-H248-I248-J248-K248-L248-M248-N248-O248-P248-Q248</f>
        <v>10000</v>
      </c>
      <c r="T248" s="4"/>
      <c r="U248" s="4">
        <f t="shared" si="51"/>
        <v>0</v>
      </c>
      <c r="V248" s="5"/>
      <c r="W248" s="5"/>
    </row>
    <row r="249" spans="1:23" ht="15.75" customHeight="1">
      <c r="A249" s="33"/>
      <c r="B249" s="64" t="s">
        <v>211</v>
      </c>
      <c r="C249" s="58"/>
      <c r="D249" s="42"/>
      <c r="E249" s="43">
        <f>10000-10000+20000</f>
        <v>20000</v>
      </c>
      <c r="F249" s="40"/>
      <c r="G249" s="40"/>
      <c r="H249" s="40"/>
      <c r="I249" s="40"/>
      <c r="J249" s="40"/>
      <c r="K249" s="40">
        <f>4122</f>
        <v>4122</v>
      </c>
      <c r="L249" s="40"/>
      <c r="M249" s="40"/>
      <c r="N249" s="40"/>
      <c r="O249" s="40"/>
      <c r="P249" s="40"/>
      <c r="Q249" s="46"/>
      <c r="R249" s="40"/>
      <c r="S249" s="47">
        <f>E249-F249-G249-H249-I249-J249-K249-L249-M249-N249-O249-P249-Q249</f>
        <v>15878</v>
      </c>
      <c r="T249" s="4"/>
      <c r="U249" s="4">
        <f t="shared" si="51"/>
        <v>4122</v>
      </c>
      <c r="V249" s="5"/>
      <c r="W249" s="5"/>
    </row>
    <row r="250" spans="1:23" ht="15.75" customHeight="1">
      <c r="A250" s="33"/>
      <c r="B250" s="64" t="s">
        <v>212</v>
      </c>
      <c r="C250" s="58"/>
      <c r="D250" s="57">
        <v>20000</v>
      </c>
      <c r="E250" s="43">
        <v>20000</v>
      </c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6"/>
      <c r="R250" s="40"/>
      <c r="S250" s="47">
        <f t="shared" ref="S250:S251" si="58">20000-F250-G250-H250-I250-J250-K250-L250-M250-N250-O250-P250-Q250</f>
        <v>20000</v>
      </c>
      <c r="T250" s="4"/>
      <c r="U250" s="4">
        <f t="shared" si="51"/>
        <v>0</v>
      </c>
      <c r="V250" s="5"/>
      <c r="W250" s="5"/>
    </row>
    <row r="251" spans="1:23" ht="15.75" customHeight="1">
      <c r="A251" s="33"/>
      <c r="B251" s="195" t="s">
        <v>213</v>
      </c>
      <c r="C251" s="158"/>
      <c r="D251" s="160"/>
      <c r="E251" s="69">
        <v>20000</v>
      </c>
      <c r="F251" s="68"/>
      <c r="G251" s="68"/>
      <c r="H251" s="68"/>
      <c r="I251" s="68"/>
      <c r="J251" s="68"/>
      <c r="K251" s="68"/>
      <c r="L251" s="70">
        <v>17215</v>
      </c>
      <c r="M251" s="68"/>
      <c r="N251" s="68"/>
      <c r="O251" s="68"/>
      <c r="P251" s="68"/>
      <c r="Q251" s="71"/>
      <c r="R251" s="68"/>
      <c r="S251" s="47">
        <f t="shared" si="58"/>
        <v>2785</v>
      </c>
      <c r="T251" s="4"/>
      <c r="U251" s="4">
        <f t="shared" si="51"/>
        <v>17215</v>
      </c>
      <c r="V251" s="5"/>
      <c r="W251" s="5"/>
    </row>
    <row r="252" spans="1:23" ht="15.75" customHeight="1">
      <c r="A252" s="161"/>
      <c r="B252" s="196" t="s">
        <v>214</v>
      </c>
      <c r="C252" s="197"/>
      <c r="D252" s="197"/>
      <c r="E252" s="198"/>
      <c r="F252" s="199"/>
      <c r="G252" s="199"/>
      <c r="H252" s="199"/>
      <c r="I252" s="199"/>
      <c r="J252" s="199"/>
      <c r="K252" s="199"/>
      <c r="L252" s="199"/>
      <c r="M252" s="199"/>
      <c r="N252" s="199"/>
      <c r="O252" s="199"/>
      <c r="P252" s="199"/>
      <c r="Q252" s="199"/>
      <c r="R252" s="199"/>
      <c r="S252" s="47"/>
      <c r="T252" s="4"/>
      <c r="U252" s="4"/>
      <c r="V252" s="5"/>
      <c r="W252" s="5"/>
    </row>
    <row r="253" spans="1:23" ht="15.75" customHeight="1">
      <c r="A253" s="161"/>
      <c r="B253" s="200"/>
      <c r="C253" s="201" t="s">
        <v>215</v>
      </c>
      <c r="D253" s="202"/>
      <c r="E253" s="104">
        <v>30000</v>
      </c>
      <c r="F253" s="203"/>
      <c r="G253" s="203"/>
      <c r="H253" s="203"/>
      <c r="I253" s="203"/>
      <c r="J253" s="203"/>
      <c r="K253" s="203"/>
      <c r="L253" s="203"/>
      <c r="M253" s="203"/>
      <c r="N253" s="203"/>
      <c r="O253" s="203"/>
      <c r="P253" s="203"/>
      <c r="Q253" s="203"/>
      <c r="R253" s="203"/>
      <c r="S253" s="176">
        <f>30000-F253-G253-H253-I253-J253-K253-L253-M253-N253-O253-P253-Q253</f>
        <v>30000</v>
      </c>
      <c r="T253" s="4"/>
      <c r="U253" s="4"/>
      <c r="V253" s="5"/>
      <c r="W253" s="5"/>
    </row>
    <row r="254" spans="1:23" ht="15.75" customHeight="1">
      <c r="A254" s="52" t="s">
        <v>216</v>
      </c>
      <c r="B254" s="53"/>
      <c r="C254" s="204"/>
      <c r="D254" s="53"/>
      <c r="E254" s="54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39"/>
      <c r="T254" s="4"/>
      <c r="U254" s="4">
        <f t="shared" ref="U254:U258" si="59">SUM(F254:Q254)</f>
        <v>0</v>
      </c>
      <c r="V254" s="5"/>
      <c r="W254" s="5"/>
    </row>
    <row r="255" spans="1:23" ht="15.75" customHeight="1">
      <c r="A255" s="205"/>
      <c r="B255" s="205" t="s">
        <v>102</v>
      </c>
      <c r="C255" s="206"/>
      <c r="D255" s="206"/>
      <c r="E255" s="207"/>
      <c r="F255" s="208"/>
      <c r="G255" s="208"/>
      <c r="H255" s="208"/>
      <c r="I255" s="208"/>
      <c r="J255" s="208"/>
      <c r="K255" s="208"/>
      <c r="L255" s="208"/>
      <c r="M255" s="208"/>
      <c r="N255" s="208"/>
      <c r="O255" s="208"/>
      <c r="P255" s="208"/>
      <c r="Q255" s="208"/>
      <c r="R255" s="206"/>
      <c r="S255" s="209"/>
      <c r="T255" s="4"/>
      <c r="U255" s="4">
        <f t="shared" si="59"/>
        <v>0</v>
      </c>
      <c r="V255" s="5"/>
      <c r="W255" s="5"/>
    </row>
    <row r="256" spans="1:23" ht="15.75" customHeight="1">
      <c r="A256" s="210"/>
      <c r="B256" s="211" t="s">
        <v>217</v>
      </c>
      <c r="C256" s="212"/>
      <c r="D256" s="212"/>
      <c r="E256" s="93"/>
      <c r="F256" s="213"/>
      <c r="G256" s="213"/>
      <c r="H256" s="213"/>
      <c r="I256" s="213"/>
      <c r="J256" s="213"/>
      <c r="K256" s="213"/>
      <c r="L256" s="213"/>
      <c r="M256" s="213"/>
      <c r="N256" s="213"/>
      <c r="O256" s="213"/>
      <c r="P256" s="213"/>
      <c r="Q256" s="213"/>
      <c r="R256" s="212"/>
      <c r="S256" s="47"/>
      <c r="T256" s="4"/>
      <c r="U256" s="4">
        <f t="shared" si="59"/>
        <v>0</v>
      </c>
      <c r="V256" s="5"/>
      <c r="W256" s="5"/>
    </row>
    <row r="257" spans="1:23" ht="15.75" customHeight="1">
      <c r="A257" s="214"/>
      <c r="B257" s="215" t="s">
        <v>218</v>
      </c>
      <c r="C257" s="212"/>
      <c r="D257" s="216"/>
      <c r="E257" s="69">
        <v>5500</v>
      </c>
      <c r="F257" s="217"/>
      <c r="G257" s="217"/>
      <c r="H257" s="217"/>
      <c r="I257" s="217"/>
      <c r="J257" s="217"/>
      <c r="K257" s="217"/>
      <c r="L257" s="217"/>
      <c r="M257" s="217"/>
      <c r="N257" s="217"/>
      <c r="O257" s="217"/>
      <c r="P257" s="217"/>
      <c r="Q257" s="217"/>
      <c r="R257" s="216"/>
      <c r="S257" s="47">
        <f>5500-F257-G257-H257-I257-J257-K257-L257-M257-N257-O257-P257-Q257</f>
        <v>5500</v>
      </c>
      <c r="T257" s="4"/>
      <c r="U257" s="4">
        <f t="shared" si="59"/>
        <v>0</v>
      </c>
      <c r="V257" s="5"/>
      <c r="W257" s="5"/>
    </row>
    <row r="258" spans="1:23" ht="15.75" customHeight="1">
      <c r="A258" s="211"/>
      <c r="B258" s="184" t="s">
        <v>219</v>
      </c>
      <c r="C258" s="212"/>
      <c r="D258" s="212"/>
      <c r="E258" s="218">
        <f>7100-7100</f>
        <v>0</v>
      </c>
      <c r="F258" s="213"/>
      <c r="G258" s="213"/>
      <c r="H258" s="213"/>
      <c r="I258" s="213"/>
      <c r="J258" s="213"/>
      <c r="K258" s="213"/>
      <c r="L258" s="213"/>
      <c r="M258" s="213"/>
      <c r="N258" s="213"/>
      <c r="O258" s="213"/>
      <c r="P258" s="213"/>
      <c r="Q258" s="213"/>
      <c r="R258" s="212"/>
      <c r="S258" s="219">
        <f t="shared" ref="S258:S261" si="60">E258-F258-G258-H258-I258-J258-K258-L258-M258-N258-O258-P258-Q258</f>
        <v>0</v>
      </c>
      <c r="T258" s="4"/>
      <c r="U258" s="4">
        <f t="shared" si="59"/>
        <v>0</v>
      </c>
      <c r="V258" s="5"/>
      <c r="W258" s="5"/>
    </row>
    <row r="259" spans="1:23" ht="15.75" customHeight="1">
      <c r="A259" s="220"/>
      <c r="B259" s="184" t="s">
        <v>220</v>
      </c>
      <c r="C259" s="221"/>
      <c r="D259" s="221"/>
      <c r="E259" s="218">
        <f>17000-17000</f>
        <v>0</v>
      </c>
      <c r="F259" s="222"/>
      <c r="G259" s="222"/>
      <c r="H259" s="222"/>
      <c r="I259" s="222"/>
      <c r="J259" s="222"/>
      <c r="K259" s="222"/>
      <c r="L259" s="222"/>
      <c r="M259" s="222"/>
      <c r="N259" s="222"/>
      <c r="O259" s="222"/>
      <c r="P259" s="222"/>
      <c r="Q259" s="222"/>
      <c r="R259" s="221"/>
      <c r="S259" s="219">
        <f t="shared" si="60"/>
        <v>0</v>
      </c>
      <c r="T259" s="4"/>
      <c r="U259" s="4"/>
      <c r="V259" s="5"/>
      <c r="W259" s="5"/>
    </row>
    <row r="260" spans="1:23" ht="15.75" customHeight="1">
      <c r="A260" s="161"/>
      <c r="B260" s="79" t="s">
        <v>221</v>
      </c>
      <c r="C260" s="171"/>
      <c r="D260" s="171"/>
      <c r="E260" s="223">
        <f>2500-2500</f>
        <v>0</v>
      </c>
      <c r="F260" s="224"/>
      <c r="G260" s="224"/>
      <c r="H260" s="224"/>
      <c r="I260" s="224"/>
      <c r="J260" s="224"/>
      <c r="K260" s="224"/>
      <c r="L260" s="224"/>
      <c r="M260" s="224"/>
      <c r="N260" s="224"/>
      <c r="O260" s="224"/>
      <c r="P260" s="224"/>
      <c r="Q260" s="224"/>
      <c r="R260" s="171"/>
      <c r="S260" s="219">
        <f t="shared" si="60"/>
        <v>0</v>
      </c>
      <c r="T260" s="4"/>
      <c r="U260" s="4"/>
      <c r="V260" s="5"/>
      <c r="W260" s="5"/>
    </row>
    <row r="261" spans="1:23" ht="15.75" customHeight="1">
      <c r="A261" s="166"/>
      <c r="B261" s="225" t="s">
        <v>222</v>
      </c>
      <c r="C261" s="202"/>
      <c r="D261" s="202"/>
      <c r="E261" s="226">
        <f>1000000-400000-80000-100000-64800-120000-100000-20000-100000-10000-5200</f>
        <v>0</v>
      </c>
      <c r="F261" s="227"/>
      <c r="G261" s="227"/>
      <c r="H261" s="227"/>
      <c r="I261" s="227"/>
      <c r="J261" s="227"/>
      <c r="K261" s="227"/>
      <c r="L261" s="227"/>
      <c r="M261" s="227"/>
      <c r="N261" s="227"/>
      <c r="O261" s="227"/>
      <c r="P261" s="227"/>
      <c r="Q261" s="227"/>
      <c r="R261" s="202"/>
      <c r="S261" s="228">
        <f t="shared" si="60"/>
        <v>0</v>
      </c>
      <c r="T261" s="4"/>
      <c r="U261" s="4"/>
      <c r="V261" s="5"/>
      <c r="W261" s="5"/>
    </row>
    <row r="262" spans="1:23" ht="15.75" customHeight="1">
      <c r="A262" s="162" t="s">
        <v>128</v>
      </c>
      <c r="B262" s="166"/>
      <c r="C262" s="166"/>
      <c r="D262" s="166"/>
      <c r="E262" s="229"/>
      <c r="F262" s="166"/>
      <c r="G262" s="166"/>
      <c r="H262" s="166"/>
      <c r="I262" s="166"/>
      <c r="J262" s="166"/>
      <c r="K262" s="166"/>
      <c r="L262" s="166"/>
      <c r="M262" s="166"/>
      <c r="N262" s="166"/>
      <c r="O262" s="166"/>
      <c r="P262" s="166"/>
      <c r="Q262" s="166"/>
      <c r="R262" s="162"/>
      <c r="S262" s="115"/>
      <c r="T262" s="4"/>
      <c r="U262" s="4">
        <f>SUM(F262:Q262)</f>
        <v>0</v>
      </c>
      <c r="V262" s="5"/>
      <c r="W262" s="5"/>
    </row>
    <row r="263" spans="1:23" ht="19.5" customHeight="1" thickBot="1">
      <c r="A263" s="230"/>
      <c r="B263" s="231" t="s">
        <v>223</v>
      </c>
      <c r="C263" s="232"/>
      <c r="D263" s="233"/>
      <c r="E263" s="36">
        <v>150000</v>
      </c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234">
        <f>150000-F263-G263-H263-I263-J263-K263-L263-M263-N263-O263-P263-Q263</f>
        <v>150000</v>
      </c>
      <c r="T263" s="235"/>
      <c r="U263" s="4"/>
      <c r="V263" s="5"/>
      <c r="W263" s="5"/>
    </row>
    <row r="264" spans="1:23" ht="19.5" customHeight="1" thickTop="1" thickBot="1">
      <c r="A264" s="236"/>
      <c r="B264" s="237"/>
      <c r="C264" s="238" t="s">
        <v>133</v>
      </c>
      <c r="D264" s="179"/>
      <c r="E264" s="127">
        <f t="shared" ref="E264:S264" si="61">SUM(E217:E263)</f>
        <v>2295200</v>
      </c>
      <c r="F264" s="128">
        <f t="shared" si="61"/>
        <v>49250</v>
      </c>
      <c r="G264" s="128">
        <f t="shared" si="61"/>
        <v>87750</v>
      </c>
      <c r="H264" s="128">
        <f t="shared" si="61"/>
        <v>113392</v>
      </c>
      <c r="I264" s="128">
        <f t="shared" si="61"/>
        <v>87032.5</v>
      </c>
      <c r="J264" s="128">
        <f t="shared" si="61"/>
        <v>82893</v>
      </c>
      <c r="K264" s="128">
        <f t="shared" si="61"/>
        <v>143352.43</v>
      </c>
      <c r="L264" s="128">
        <f t="shared" si="61"/>
        <v>194020</v>
      </c>
      <c r="M264" s="128">
        <f t="shared" si="61"/>
        <v>70047</v>
      </c>
      <c r="N264" s="128">
        <f t="shared" si="61"/>
        <v>147770</v>
      </c>
      <c r="O264" s="128">
        <f t="shared" si="61"/>
        <v>36000</v>
      </c>
      <c r="P264" s="128">
        <f t="shared" si="61"/>
        <v>0</v>
      </c>
      <c r="Q264" s="128">
        <f t="shared" si="61"/>
        <v>0</v>
      </c>
      <c r="R264" s="128">
        <f t="shared" si="61"/>
        <v>0</v>
      </c>
      <c r="S264" s="130">
        <f t="shared" si="61"/>
        <v>1283693.07</v>
      </c>
      <c r="T264" s="131">
        <f>F264+G264+H264+I264+J264+K264+L264+M264+N264+O264+P264+Q264+S264</f>
        <v>2295200</v>
      </c>
      <c r="U264" s="4">
        <f t="shared" ref="U264:U335" si="62">SUM(F264:Q264)</f>
        <v>1011506.9299999999</v>
      </c>
      <c r="V264" s="5"/>
      <c r="W264" s="5"/>
    </row>
    <row r="265" spans="1:23" ht="28.5" customHeight="1" thickTop="1">
      <c r="A265" s="65"/>
      <c r="B265" s="65"/>
      <c r="C265" s="65"/>
      <c r="D265" s="65"/>
      <c r="E265" s="183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183"/>
      <c r="R265" s="65"/>
      <c r="S265" s="65"/>
      <c r="T265" s="4"/>
      <c r="U265" s="4">
        <f t="shared" si="62"/>
        <v>0</v>
      </c>
      <c r="V265" s="5"/>
      <c r="W265" s="5"/>
    </row>
    <row r="266" spans="1:23" ht="24.75" customHeight="1">
      <c r="A266" s="15" t="s">
        <v>224</v>
      </c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4"/>
      <c r="U266" s="4">
        <f t="shared" si="62"/>
        <v>0</v>
      </c>
      <c r="V266" s="5"/>
      <c r="W266" s="5"/>
    </row>
    <row r="267" spans="1:23" ht="15.75" customHeight="1">
      <c r="A267" s="17"/>
      <c r="B267" s="18"/>
      <c r="C267" s="18"/>
      <c r="D267" s="19"/>
      <c r="E267" s="148" t="s">
        <v>2</v>
      </c>
      <c r="F267" s="149" t="s">
        <v>3</v>
      </c>
      <c r="G267" s="149" t="s">
        <v>4</v>
      </c>
      <c r="H267" s="149" t="s">
        <v>5</v>
      </c>
      <c r="I267" s="149" t="s">
        <v>6</v>
      </c>
      <c r="J267" s="149" t="s">
        <v>7</v>
      </c>
      <c r="K267" s="149" t="s">
        <v>8</v>
      </c>
      <c r="L267" s="149" t="s">
        <v>9</v>
      </c>
      <c r="M267" s="149" t="s">
        <v>10</v>
      </c>
      <c r="N267" s="150" t="s">
        <v>11</v>
      </c>
      <c r="O267" s="149" t="s">
        <v>12</v>
      </c>
      <c r="P267" s="151" t="s">
        <v>13</v>
      </c>
      <c r="Q267" s="151" t="s">
        <v>14</v>
      </c>
      <c r="R267" s="152"/>
      <c r="S267" s="239" t="s">
        <v>15</v>
      </c>
      <c r="T267" s="4"/>
      <c r="U267" s="4">
        <f t="shared" si="62"/>
        <v>0</v>
      </c>
      <c r="V267" s="5"/>
      <c r="W267" s="5"/>
    </row>
    <row r="268" spans="1:23" ht="15.75" customHeight="1">
      <c r="A268" s="137" t="s">
        <v>189</v>
      </c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9"/>
      <c r="T268" s="4"/>
      <c r="U268" s="4">
        <f t="shared" si="62"/>
        <v>0</v>
      </c>
      <c r="V268" s="5"/>
      <c r="W268" s="5"/>
    </row>
    <row r="269" spans="1:23" ht="15.75" customHeight="1">
      <c r="A269" s="33"/>
      <c r="B269" s="154" t="s">
        <v>25</v>
      </c>
      <c r="C269" s="155"/>
      <c r="D269" s="56">
        <v>2380000</v>
      </c>
      <c r="E269" s="156"/>
      <c r="F269" s="138"/>
      <c r="G269" s="138"/>
      <c r="H269" s="138"/>
      <c r="I269" s="138"/>
      <c r="J269" s="138"/>
      <c r="K269" s="138"/>
      <c r="L269" s="138"/>
      <c r="M269" s="138"/>
      <c r="N269" s="138"/>
      <c r="O269" s="138"/>
      <c r="P269" s="138"/>
      <c r="Q269" s="139"/>
      <c r="R269" s="138"/>
      <c r="S269" s="140"/>
      <c r="T269" s="4"/>
      <c r="U269" s="4">
        <f t="shared" si="62"/>
        <v>0</v>
      </c>
      <c r="V269" s="5"/>
      <c r="W269" s="5"/>
    </row>
    <row r="270" spans="1:23" ht="15.75" customHeight="1">
      <c r="A270" s="33"/>
      <c r="B270" s="40" t="s">
        <v>137</v>
      </c>
      <c r="C270" s="41"/>
      <c r="D270" s="42"/>
      <c r="E270" s="43">
        <f>560000-216000</f>
        <v>344000</v>
      </c>
      <c r="F270" s="44">
        <v>19800</v>
      </c>
      <c r="G270" s="44">
        <v>19800</v>
      </c>
      <c r="H270" s="44">
        <v>19800</v>
      </c>
      <c r="I270" s="44">
        <v>19800</v>
      </c>
      <c r="J270" s="44">
        <v>19800</v>
      </c>
      <c r="K270" s="44">
        <v>19800</v>
      </c>
      <c r="L270" s="44">
        <v>20120</v>
      </c>
      <c r="M270" s="44">
        <v>20120</v>
      </c>
      <c r="N270" s="44">
        <v>20120</v>
      </c>
      <c r="O270" s="44"/>
      <c r="P270" s="44"/>
      <c r="Q270" s="46"/>
      <c r="R270" s="40"/>
      <c r="S270" s="47">
        <f>E270-F270-G270-H270-I270-J270-K270-L270-M270-N270-O270-P270-Q270</f>
        <v>164840</v>
      </c>
      <c r="T270" s="4"/>
      <c r="U270" s="4">
        <f t="shared" si="62"/>
        <v>179160</v>
      </c>
      <c r="V270" s="5"/>
      <c r="W270" s="5"/>
    </row>
    <row r="271" spans="1:23" ht="15.75" customHeight="1">
      <c r="A271" s="33"/>
      <c r="B271" s="40" t="s">
        <v>190</v>
      </c>
      <c r="C271" s="41"/>
      <c r="D271" s="42"/>
      <c r="E271" s="43">
        <v>42000</v>
      </c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6"/>
      <c r="R271" s="40"/>
      <c r="S271" s="47">
        <f>42000-F271-G271-H271-I271-J271-K271-L271-M271-N271-O271-P271-Q271</f>
        <v>42000</v>
      </c>
      <c r="T271" s="4"/>
      <c r="U271" s="4">
        <f t="shared" si="62"/>
        <v>0</v>
      </c>
      <c r="V271" s="5"/>
      <c r="W271" s="5"/>
    </row>
    <row r="272" spans="1:23" ht="15.75" customHeight="1">
      <c r="A272" s="33"/>
      <c r="B272" s="40" t="s">
        <v>157</v>
      </c>
      <c r="C272" s="41"/>
      <c r="D272" s="42"/>
      <c r="E272" s="43">
        <v>776000</v>
      </c>
      <c r="F272" s="44">
        <v>60500</v>
      </c>
      <c r="G272" s="44">
        <v>60500</v>
      </c>
      <c r="H272" s="44">
        <v>77680</v>
      </c>
      <c r="I272" s="44">
        <v>79300</v>
      </c>
      <c r="J272" s="44">
        <v>79300</v>
      </c>
      <c r="K272" s="44">
        <v>79300</v>
      </c>
      <c r="L272" s="44">
        <v>79300</v>
      </c>
      <c r="M272" s="44">
        <v>79300</v>
      </c>
      <c r="N272" s="44">
        <v>79300</v>
      </c>
      <c r="O272" s="44"/>
      <c r="P272" s="44"/>
      <c r="Q272" s="46"/>
      <c r="R272" s="40"/>
      <c r="S272" s="47">
        <f>776000-F272-G272-H272-I272-J272-K272-L272-M272-N272-O272-P272-Q272</f>
        <v>101520</v>
      </c>
      <c r="T272" s="4"/>
      <c r="U272" s="4">
        <f t="shared" si="62"/>
        <v>674480</v>
      </c>
      <c r="V272" s="5"/>
      <c r="W272" s="5"/>
    </row>
    <row r="273" spans="1:23" ht="15.75" customHeight="1">
      <c r="A273" s="33"/>
      <c r="B273" s="40" t="s">
        <v>225</v>
      </c>
      <c r="C273" s="41"/>
      <c r="D273" s="42"/>
      <c r="E273" s="43">
        <v>86000</v>
      </c>
      <c r="F273" s="44">
        <v>7115</v>
      </c>
      <c r="G273" s="44">
        <v>7115</v>
      </c>
      <c r="H273" s="44">
        <v>10685</v>
      </c>
      <c r="I273" s="44">
        <v>10685</v>
      </c>
      <c r="J273" s="44">
        <v>10685</v>
      </c>
      <c r="K273" s="44">
        <v>10685</v>
      </c>
      <c r="L273" s="44">
        <v>10685</v>
      </c>
      <c r="M273" s="44">
        <v>10685</v>
      </c>
      <c r="N273" s="44">
        <v>10685</v>
      </c>
      <c r="O273" s="44"/>
      <c r="P273" s="44"/>
      <c r="Q273" s="46"/>
      <c r="R273" s="40"/>
      <c r="S273" s="47">
        <f>86000-F273-G273-H273-I273-J273-K273-L273-M273-N273-O273-P273-Q273</f>
        <v>-3025</v>
      </c>
      <c r="T273" s="4"/>
      <c r="U273" s="4">
        <f t="shared" si="62"/>
        <v>89025</v>
      </c>
      <c r="V273" s="5"/>
      <c r="W273" s="5"/>
    </row>
    <row r="274" spans="1:23" ht="15.75" customHeight="1">
      <c r="A274" s="33"/>
      <c r="B274" s="40" t="s">
        <v>226</v>
      </c>
      <c r="C274" s="41"/>
      <c r="D274" s="42"/>
      <c r="E274" s="43">
        <v>1250000</v>
      </c>
      <c r="F274" s="44">
        <v>86770</v>
      </c>
      <c r="G274" s="44">
        <v>86770</v>
      </c>
      <c r="H274" s="44">
        <v>86770</v>
      </c>
      <c r="I274" s="44">
        <v>86770</v>
      </c>
      <c r="J274" s="44">
        <v>86770</v>
      </c>
      <c r="K274" s="44">
        <v>86770</v>
      </c>
      <c r="L274" s="44">
        <v>89150</v>
      </c>
      <c r="M274" s="44">
        <v>89150</v>
      </c>
      <c r="N274" s="44">
        <v>89150</v>
      </c>
      <c r="O274" s="44"/>
      <c r="P274" s="44"/>
      <c r="Q274" s="46"/>
      <c r="R274" s="40"/>
      <c r="S274" s="47">
        <f>1250000-F274-G274-H274-I274-J274-K274-L274-M274-N274-O274-P274-Q274</f>
        <v>461930</v>
      </c>
      <c r="T274" s="4"/>
      <c r="U274" s="4">
        <f t="shared" si="62"/>
        <v>788070</v>
      </c>
      <c r="V274" s="5"/>
      <c r="W274" s="5"/>
    </row>
    <row r="275" spans="1:23" ht="15.75" customHeight="1">
      <c r="A275" s="33"/>
      <c r="B275" s="40" t="s">
        <v>227</v>
      </c>
      <c r="C275" s="41"/>
      <c r="D275" s="42"/>
      <c r="E275" s="43">
        <v>84000</v>
      </c>
      <c r="F275" s="44">
        <v>7000</v>
      </c>
      <c r="G275" s="44">
        <v>7000</v>
      </c>
      <c r="H275" s="44">
        <v>7000</v>
      </c>
      <c r="I275" s="44">
        <v>7000</v>
      </c>
      <c r="J275" s="44">
        <v>7000</v>
      </c>
      <c r="K275" s="44">
        <v>7000</v>
      </c>
      <c r="L275" s="44">
        <v>7000</v>
      </c>
      <c r="M275" s="44">
        <v>7000</v>
      </c>
      <c r="N275" s="44">
        <v>7000</v>
      </c>
      <c r="O275" s="44"/>
      <c r="P275" s="44"/>
      <c r="Q275" s="46"/>
      <c r="R275" s="40"/>
      <c r="S275" s="47">
        <f>84000-F275-G275-H275-I275-J275-K275-L275-M275-N275-O275-P275-Q275</f>
        <v>21000</v>
      </c>
      <c r="T275" s="4"/>
      <c r="U275" s="4">
        <f t="shared" si="62"/>
        <v>63000</v>
      </c>
      <c r="V275" s="5"/>
      <c r="W275" s="5"/>
    </row>
    <row r="276" spans="1:23" ht="15.75" customHeight="1">
      <c r="A276" s="33"/>
      <c r="B276" s="40" t="s">
        <v>228</v>
      </c>
      <c r="C276" s="41"/>
      <c r="D276" s="42"/>
      <c r="E276" s="43">
        <v>334000</v>
      </c>
      <c r="F276" s="44">
        <v>25450</v>
      </c>
      <c r="G276" s="44">
        <v>25450</v>
      </c>
      <c r="H276" s="44">
        <v>23710</v>
      </c>
      <c r="I276" s="44">
        <v>25450</v>
      </c>
      <c r="J276" s="44">
        <v>25450</v>
      </c>
      <c r="K276" s="44">
        <v>26570</v>
      </c>
      <c r="L276" s="44">
        <v>18597</v>
      </c>
      <c r="M276" s="44">
        <v>18597</v>
      </c>
      <c r="N276" s="44">
        <v>18597</v>
      </c>
      <c r="O276" s="44"/>
      <c r="P276" s="44"/>
      <c r="Q276" s="46"/>
      <c r="R276" s="40"/>
      <c r="S276" s="47">
        <f>334000-F276-G276-H276-I276-J276-K276-L276-M276-N276-O276-P276-Q276</f>
        <v>126129</v>
      </c>
      <c r="T276" s="4"/>
      <c r="U276" s="4">
        <f t="shared" si="62"/>
        <v>207871</v>
      </c>
      <c r="V276" s="5"/>
      <c r="W276" s="5"/>
    </row>
    <row r="277" spans="1:23" ht="15.75" customHeight="1">
      <c r="A277" s="33"/>
      <c r="B277" s="141" t="s">
        <v>229</v>
      </c>
      <c r="C277" s="142"/>
      <c r="D277" s="50"/>
      <c r="E277" s="143">
        <v>24000</v>
      </c>
      <c r="F277" s="144">
        <v>1990</v>
      </c>
      <c r="G277" s="144">
        <v>1990</v>
      </c>
      <c r="H277" s="144">
        <v>1120</v>
      </c>
      <c r="I277" s="144">
        <v>1120</v>
      </c>
      <c r="J277" s="144">
        <v>1120</v>
      </c>
      <c r="K277" s="144">
        <v>1120</v>
      </c>
      <c r="L277" s="144">
        <v>888</v>
      </c>
      <c r="M277" s="144">
        <v>888</v>
      </c>
      <c r="N277" s="144">
        <v>888</v>
      </c>
      <c r="O277" s="144"/>
      <c r="P277" s="144"/>
      <c r="Q277" s="145"/>
      <c r="R277" s="141"/>
      <c r="S277" s="47">
        <f>24000-F277-G277-H277-I277-J277-K277-L277-M277-N277-O277-P277-Q277</f>
        <v>12876</v>
      </c>
      <c r="T277" s="4"/>
      <c r="U277" s="4">
        <f t="shared" si="62"/>
        <v>11124</v>
      </c>
      <c r="V277" s="5"/>
      <c r="W277" s="5"/>
    </row>
    <row r="278" spans="1:23" ht="15.75" customHeight="1">
      <c r="A278" s="52" t="s">
        <v>142</v>
      </c>
      <c r="B278" s="53"/>
      <c r="C278" s="53"/>
      <c r="D278" s="53"/>
      <c r="E278" s="54"/>
      <c r="F278" s="55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9"/>
      <c r="T278" s="4"/>
      <c r="U278" s="4">
        <f t="shared" si="62"/>
        <v>0</v>
      </c>
      <c r="V278" s="5"/>
      <c r="W278" s="5"/>
    </row>
    <row r="279" spans="1:23" ht="15.75" customHeight="1">
      <c r="A279" s="33"/>
      <c r="B279" s="154" t="s">
        <v>33</v>
      </c>
      <c r="C279" s="155"/>
      <c r="D279" s="56">
        <v>220000</v>
      </c>
      <c r="E279" s="156"/>
      <c r="F279" s="138"/>
      <c r="G279" s="138"/>
      <c r="H279" s="138"/>
      <c r="I279" s="138"/>
      <c r="J279" s="138"/>
      <c r="K279" s="138"/>
      <c r="L279" s="138"/>
      <c r="M279" s="138"/>
      <c r="N279" s="138"/>
      <c r="O279" s="138"/>
      <c r="P279" s="138"/>
      <c r="Q279" s="139"/>
      <c r="R279" s="138"/>
      <c r="S279" s="140"/>
      <c r="T279" s="4"/>
      <c r="U279" s="4">
        <f t="shared" si="62"/>
        <v>0</v>
      </c>
      <c r="V279" s="5"/>
      <c r="W279" s="5"/>
    </row>
    <row r="280" spans="1:23" ht="15.75" customHeight="1">
      <c r="A280" s="33"/>
      <c r="B280" s="40" t="s">
        <v>143</v>
      </c>
      <c r="C280" s="41"/>
      <c r="D280" s="42"/>
      <c r="E280" s="43">
        <v>10000</v>
      </c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6"/>
      <c r="R280" s="40"/>
      <c r="S280" s="47">
        <f t="shared" ref="S280:S281" si="63">10000-F280-G280-H280-I280-J280-K280-L280-M280-N280-O280-P280-Q280</f>
        <v>10000</v>
      </c>
      <c r="T280" s="4"/>
      <c r="U280" s="4">
        <f t="shared" si="62"/>
        <v>0</v>
      </c>
      <c r="V280" s="5"/>
      <c r="W280" s="5"/>
    </row>
    <row r="281" spans="1:23" ht="15.75" customHeight="1">
      <c r="A281" s="33"/>
      <c r="B281" s="40" t="s">
        <v>144</v>
      </c>
      <c r="C281" s="41"/>
      <c r="D281" s="42"/>
      <c r="E281" s="43">
        <v>10000</v>
      </c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6"/>
      <c r="R281" s="40"/>
      <c r="S281" s="47">
        <f t="shared" si="63"/>
        <v>10000</v>
      </c>
      <c r="T281" s="4"/>
      <c r="U281" s="4">
        <f t="shared" si="62"/>
        <v>0</v>
      </c>
      <c r="V281" s="5"/>
      <c r="W281" s="5"/>
    </row>
    <row r="282" spans="1:23" ht="15.75" customHeight="1">
      <c r="A282" s="33"/>
      <c r="B282" s="40" t="s">
        <v>145</v>
      </c>
      <c r="C282" s="41"/>
      <c r="D282" s="42"/>
      <c r="E282" s="43">
        <v>80000</v>
      </c>
      <c r="F282" s="40"/>
      <c r="G282" s="40"/>
      <c r="H282" s="40">
        <f>11000+7000+11400</f>
        <v>29400</v>
      </c>
      <c r="I282" s="40"/>
      <c r="J282" s="40"/>
      <c r="K282" s="40"/>
      <c r="L282" s="40"/>
      <c r="M282" s="44">
        <v>4000</v>
      </c>
      <c r="N282" s="40"/>
      <c r="O282" s="40"/>
      <c r="P282" s="44"/>
      <c r="Q282" s="46"/>
      <c r="R282" s="40"/>
      <c r="S282" s="47">
        <f>80000-F282-G282-H282-I282-J282-K282-L282-M282-N282-O282-P282-Q282</f>
        <v>46600</v>
      </c>
      <c r="T282" s="4"/>
      <c r="U282" s="4">
        <f t="shared" si="62"/>
        <v>33400</v>
      </c>
      <c r="V282" s="5"/>
      <c r="W282" s="5"/>
    </row>
    <row r="283" spans="1:23" ht="15.75" customHeight="1">
      <c r="A283" s="33"/>
      <c r="B283" s="40" t="s">
        <v>230</v>
      </c>
      <c r="C283" s="41"/>
      <c r="D283" s="42"/>
      <c r="E283" s="43">
        <v>50000</v>
      </c>
      <c r="F283" s="40"/>
      <c r="G283" s="40">
        <f>3000</f>
        <v>3000</v>
      </c>
      <c r="H283" s="44">
        <v>3000</v>
      </c>
      <c r="I283" s="44">
        <v>3000</v>
      </c>
      <c r="J283" s="44">
        <v>4000</v>
      </c>
      <c r="K283" s="44">
        <v>4000</v>
      </c>
      <c r="L283" s="44">
        <f>4000+4000</f>
        <v>8000</v>
      </c>
      <c r="M283" s="40"/>
      <c r="N283" s="44">
        <v>4000</v>
      </c>
      <c r="O283" s="44">
        <v>4000</v>
      </c>
      <c r="P283" s="44"/>
      <c r="Q283" s="46"/>
      <c r="R283" s="40"/>
      <c r="S283" s="47">
        <f>50000-F283-G283-H283-I283-J283-K283-L283-M283-N283-O283-P283-Q283</f>
        <v>17000</v>
      </c>
      <c r="T283" s="4"/>
      <c r="U283" s="4">
        <f t="shared" si="62"/>
        <v>33000</v>
      </c>
      <c r="V283" s="5"/>
      <c r="W283" s="5"/>
    </row>
    <row r="284" spans="1:23" ht="15.75" customHeight="1">
      <c r="A284" s="33"/>
      <c r="B284" s="49" t="s">
        <v>38</v>
      </c>
      <c r="C284" s="41"/>
      <c r="D284" s="57">
        <v>2425000</v>
      </c>
      <c r="E284" s="43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6"/>
      <c r="R284" s="40"/>
      <c r="S284" s="47"/>
      <c r="T284" s="4"/>
      <c r="U284" s="4">
        <f t="shared" si="62"/>
        <v>0</v>
      </c>
      <c r="V284" s="5"/>
      <c r="W284" s="5"/>
    </row>
    <row r="285" spans="1:23" ht="15.75" customHeight="1">
      <c r="A285" s="33"/>
      <c r="B285" s="40" t="s">
        <v>231</v>
      </c>
      <c r="C285" s="41"/>
      <c r="D285" s="57"/>
      <c r="E285" s="43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6"/>
      <c r="R285" s="40"/>
      <c r="S285" s="47"/>
      <c r="T285" s="4"/>
      <c r="U285" s="4">
        <f t="shared" si="62"/>
        <v>0</v>
      </c>
      <c r="V285" s="5"/>
      <c r="W285" s="5"/>
    </row>
    <row r="286" spans="1:23" ht="15.75" customHeight="1">
      <c r="A286" s="33"/>
      <c r="B286" s="41"/>
      <c r="C286" s="58" t="s">
        <v>40</v>
      </c>
      <c r="D286" s="42"/>
      <c r="E286" s="43">
        <f>150000-50000</f>
        <v>100000</v>
      </c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6"/>
      <c r="R286" s="40"/>
      <c r="S286" s="47">
        <f>E286-F286-G286-H286-I286-J286-K286-L286-M286-N286-O286-P286-Q286</f>
        <v>100000</v>
      </c>
      <c r="T286" s="4"/>
      <c r="U286" s="4">
        <f t="shared" si="62"/>
        <v>0</v>
      </c>
      <c r="V286" s="5"/>
      <c r="W286" s="5"/>
    </row>
    <row r="287" spans="1:23" ht="15.75" customHeight="1">
      <c r="A287" s="33"/>
      <c r="B287" s="41"/>
      <c r="C287" s="58" t="s">
        <v>232</v>
      </c>
      <c r="D287" s="42"/>
      <c r="E287" s="43">
        <v>216000</v>
      </c>
      <c r="F287" s="40"/>
      <c r="G287" s="40">
        <f t="shared" ref="G287:G289" si="64">9000+9000</f>
        <v>18000</v>
      </c>
      <c r="H287" s="40">
        <f t="shared" ref="H287:H288" si="65">9000+9000+9000+9000</f>
        <v>36000</v>
      </c>
      <c r="I287" s="40"/>
      <c r="J287" s="40">
        <f t="shared" ref="J287:K288" si="66">9000+9000</f>
        <v>18000</v>
      </c>
      <c r="K287" s="40">
        <f t="shared" si="66"/>
        <v>18000</v>
      </c>
      <c r="L287" s="40">
        <f t="shared" ref="L287:L288" si="67">9000+9000+9000+9000</f>
        <v>36000</v>
      </c>
      <c r="M287" s="40"/>
      <c r="N287" s="40">
        <f t="shared" ref="N287:O288" si="68">9000+9000</f>
        <v>18000</v>
      </c>
      <c r="O287" s="44">
        <f t="shared" si="68"/>
        <v>18000</v>
      </c>
      <c r="P287" s="44"/>
      <c r="Q287" s="46"/>
      <c r="R287" s="40"/>
      <c r="S287" s="47">
        <f t="shared" ref="S287:S289" si="69">216000-F287-G287-H287-I287-J287-K287-L287-M287-N287-O287-P287-Q287</f>
        <v>54000</v>
      </c>
      <c r="T287" s="4"/>
      <c r="U287" s="4">
        <f t="shared" si="62"/>
        <v>162000</v>
      </c>
      <c r="V287" s="5"/>
      <c r="W287" s="5"/>
    </row>
    <row r="288" spans="1:23" ht="15.75" customHeight="1">
      <c r="A288" s="33"/>
      <c r="B288" s="41"/>
      <c r="C288" s="58" t="s">
        <v>233</v>
      </c>
      <c r="D288" s="42"/>
      <c r="E288" s="43">
        <v>216000</v>
      </c>
      <c r="F288" s="40"/>
      <c r="G288" s="40">
        <f t="shared" si="64"/>
        <v>18000</v>
      </c>
      <c r="H288" s="40">
        <f t="shared" si="65"/>
        <v>36000</v>
      </c>
      <c r="I288" s="40"/>
      <c r="J288" s="40">
        <f t="shared" si="66"/>
        <v>18000</v>
      </c>
      <c r="K288" s="40">
        <f t="shared" si="66"/>
        <v>18000</v>
      </c>
      <c r="L288" s="40">
        <f t="shared" si="67"/>
        <v>36000</v>
      </c>
      <c r="M288" s="40"/>
      <c r="N288" s="40">
        <f t="shared" si="68"/>
        <v>18000</v>
      </c>
      <c r="O288" s="44">
        <f t="shared" si="68"/>
        <v>18000</v>
      </c>
      <c r="P288" s="40"/>
      <c r="Q288" s="46"/>
      <c r="R288" s="40"/>
      <c r="S288" s="47">
        <f t="shared" si="69"/>
        <v>54000</v>
      </c>
      <c r="T288" s="4"/>
      <c r="U288" s="4">
        <f t="shared" si="62"/>
        <v>162000</v>
      </c>
      <c r="V288" s="5"/>
      <c r="W288" s="5"/>
    </row>
    <row r="289" spans="1:23" ht="15.75" customHeight="1">
      <c r="A289" s="33"/>
      <c r="B289" s="41"/>
      <c r="C289" s="58" t="s">
        <v>234</v>
      </c>
      <c r="D289" s="42"/>
      <c r="E289" s="43">
        <v>216000</v>
      </c>
      <c r="F289" s="40"/>
      <c r="G289" s="40">
        <f t="shared" si="64"/>
        <v>18000</v>
      </c>
      <c r="H289" s="40">
        <f>9000+9000+9000</f>
        <v>27000</v>
      </c>
      <c r="I289" s="40"/>
      <c r="J289" s="40">
        <f t="shared" ref="J289:K289" si="70">9000</f>
        <v>9000</v>
      </c>
      <c r="K289" s="40">
        <f t="shared" si="70"/>
        <v>9000</v>
      </c>
      <c r="L289" s="44">
        <f>9000+8400</f>
        <v>17400</v>
      </c>
      <c r="M289" s="40"/>
      <c r="N289" s="40">
        <f>9000</f>
        <v>9000</v>
      </c>
      <c r="O289" s="44"/>
      <c r="P289" s="44"/>
      <c r="Q289" s="46"/>
      <c r="R289" s="40"/>
      <c r="S289" s="47">
        <f t="shared" si="69"/>
        <v>126600</v>
      </c>
      <c r="T289" s="4"/>
      <c r="U289" s="4">
        <f t="shared" si="62"/>
        <v>89400</v>
      </c>
      <c r="V289" s="5"/>
      <c r="W289" s="5"/>
    </row>
    <row r="290" spans="1:23" ht="15.75" customHeight="1">
      <c r="A290" s="33"/>
      <c r="B290" s="40" t="s">
        <v>150</v>
      </c>
      <c r="C290" s="41"/>
      <c r="D290" s="57"/>
      <c r="E290" s="43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6"/>
      <c r="R290" s="40"/>
      <c r="S290" s="47"/>
      <c r="T290" s="4"/>
      <c r="U290" s="4">
        <f t="shared" si="62"/>
        <v>0</v>
      </c>
      <c r="V290" s="5"/>
      <c r="W290" s="5"/>
    </row>
    <row r="291" spans="1:23" ht="15.75" customHeight="1">
      <c r="A291" s="33"/>
      <c r="B291" s="41"/>
      <c r="C291" s="58" t="s">
        <v>52</v>
      </c>
      <c r="D291" s="42"/>
      <c r="E291" s="43">
        <v>80000</v>
      </c>
      <c r="F291" s="40"/>
      <c r="G291" s="40"/>
      <c r="H291" s="40">
        <f>17000</f>
        <v>17000</v>
      </c>
      <c r="I291" s="44">
        <v>3200</v>
      </c>
      <c r="J291" s="44">
        <v>1744</v>
      </c>
      <c r="K291" s="40">
        <f>8608+600</f>
        <v>9208</v>
      </c>
      <c r="L291" s="40"/>
      <c r="M291" s="40"/>
      <c r="N291" s="44">
        <v>6672</v>
      </c>
      <c r="O291" s="44"/>
      <c r="P291" s="44"/>
      <c r="Q291" s="46"/>
      <c r="R291" s="40"/>
      <c r="S291" s="47">
        <f t="shared" ref="S291:S292" si="71">E291-F291-G291-H291-I291-J291-K291-L291-M291-N291-O291-P291-Q291</f>
        <v>42176</v>
      </c>
      <c r="T291" s="4"/>
      <c r="U291" s="4">
        <f t="shared" si="62"/>
        <v>37824</v>
      </c>
      <c r="V291" s="5"/>
      <c r="W291" s="5"/>
    </row>
    <row r="292" spans="1:23" ht="15.75" customHeight="1">
      <c r="A292" s="33"/>
      <c r="B292" s="41"/>
      <c r="C292" s="58" t="s">
        <v>235</v>
      </c>
      <c r="D292" s="42"/>
      <c r="E292" s="43">
        <f>1000000-200000</f>
        <v>800000</v>
      </c>
      <c r="F292" s="40">
        <f>50000+50000</f>
        <v>100000</v>
      </c>
      <c r="G292" s="40"/>
      <c r="H292" s="40">
        <f>9500+9500</f>
        <v>19000</v>
      </c>
      <c r="I292" s="40">
        <f>60000+60000</f>
        <v>120000</v>
      </c>
      <c r="J292" s="40"/>
      <c r="K292" s="40"/>
      <c r="L292" s="40"/>
      <c r="M292" s="44">
        <f>25420+27280</f>
        <v>52700</v>
      </c>
      <c r="N292" s="40"/>
      <c r="O292" s="40"/>
      <c r="P292" s="40"/>
      <c r="Q292" s="46"/>
      <c r="R292" s="40"/>
      <c r="S292" s="47">
        <f t="shared" si="71"/>
        <v>508300</v>
      </c>
      <c r="T292" s="4"/>
      <c r="U292" s="4">
        <f t="shared" si="62"/>
        <v>291700</v>
      </c>
      <c r="V292" s="5"/>
      <c r="W292" s="5"/>
    </row>
    <row r="293" spans="1:23" ht="15.75" customHeight="1">
      <c r="A293" s="33"/>
      <c r="B293" s="41"/>
      <c r="C293" s="58" t="s">
        <v>236</v>
      </c>
      <c r="D293" s="42"/>
      <c r="E293" s="43">
        <v>10000</v>
      </c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6"/>
      <c r="R293" s="40"/>
      <c r="S293" s="47">
        <f t="shared" ref="S293:S295" si="72">10000-F293-G293-H293-I293-J293-K293-L293-M293-N293-O293-P293-Q293</f>
        <v>10000</v>
      </c>
      <c r="T293" s="4"/>
      <c r="U293" s="4">
        <f t="shared" si="62"/>
        <v>0</v>
      </c>
      <c r="V293" s="5"/>
      <c r="W293" s="5"/>
    </row>
    <row r="294" spans="1:23" ht="15.75" customHeight="1">
      <c r="A294" s="33"/>
      <c r="B294" s="41"/>
      <c r="C294" s="58" t="s">
        <v>237</v>
      </c>
      <c r="D294" s="42"/>
      <c r="E294" s="43">
        <v>10000</v>
      </c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6"/>
      <c r="R294" s="40"/>
      <c r="S294" s="47">
        <f t="shared" si="72"/>
        <v>10000</v>
      </c>
      <c r="T294" s="4"/>
      <c r="U294" s="4">
        <f t="shared" si="62"/>
        <v>0</v>
      </c>
      <c r="V294" s="5"/>
      <c r="W294" s="5"/>
    </row>
    <row r="295" spans="1:23" ht="15.75" customHeight="1">
      <c r="A295" s="33"/>
      <c r="B295" s="41"/>
      <c r="C295" s="58" t="s">
        <v>238</v>
      </c>
      <c r="D295" s="42"/>
      <c r="E295" s="43">
        <v>10000</v>
      </c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6"/>
      <c r="R295" s="40"/>
      <c r="S295" s="47">
        <f t="shared" si="72"/>
        <v>10000</v>
      </c>
      <c r="T295" s="4"/>
      <c r="U295" s="4">
        <f t="shared" si="62"/>
        <v>0</v>
      </c>
      <c r="V295" s="5"/>
      <c r="W295" s="5"/>
    </row>
    <row r="296" spans="1:23" ht="15" customHeight="1">
      <c r="A296" s="67"/>
      <c r="B296" s="41"/>
      <c r="C296" s="58" t="s">
        <v>239</v>
      </c>
      <c r="D296" s="42"/>
      <c r="E296" s="43">
        <v>30000</v>
      </c>
      <c r="F296" s="40"/>
      <c r="G296" s="40"/>
      <c r="H296" s="40"/>
      <c r="I296" s="40"/>
      <c r="J296" s="40"/>
      <c r="K296" s="40"/>
      <c r="L296" s="44"/>
      <c r="M296" s="40"/>
      <c r="N296" s="40"/>
      <c r="O296" s="40"/>
      <c r="P296" s="40"/>
      <c r="Q296" s="46"/>
      <c r="R296" s="40"/>
      <c r="S296" s="47">
        <f>30000-F296-G296-H296-I296-J296-K296-L296-M296-N296-O296-P296-Q296</f>
        <v>30000</v>
      </c>
      <c r="T296" s="4"/>
      <c r="U296" s="4">
        <f t="shared" si="62"/>
        <v>0</v>
      </c>
      <c r="V296" s="5"/>
      <c r="W296" s="5"/>
    </row>
    <row r="297" spans="1:23" ht="15.75" customHeight="1">
      <c r="A297" s="67"/>
      <c r="B297" s="41"/>
      <c r="C297" s="58" t="s">
        <v>240</v>
      </c>
      <c r="D297" s="42"/>
      <c r="E297" s="43">
        <v>30000</v>
      </c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6"/>
      <c r="R297" s="40"/>
      <c r="S297" s="61">
        <v>30000</v>
      </c>
      <c r="T297" s="4"/>
      <c r="U297" s="4">
        <f t="shared" si="62"/>
        <v>0</v>
      </c>
      <c r="V297" s="5"/>
      <c r="W297" s="5"/>
    </row>
    <row r="298" spans="1:23" ht="15.75" customHeight="1">
      <c r="A298" s="67"/>
      <c r="B298" s="41"/>
      <c r="C298" s="58" t="s">
        <v>241</v>
      </c>
      <c r="D298" s="42"/>
      <c r="E298" s="43">
        <v>20000</v>
      </c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6"/>
      <c r="R298" s="40"/>
      <c r="S298" s="61">
        <v>20000</v>
      </c>
      <c r="T298" s="4"/>
      <c r="U298" s="4">
        <f t="shared" si="62"/>
        <v>0</v>
      </c>
      <c r="V298" s="5"/>
      <c r="W298" s="5"/>
    </row>
    <row r="299" spans="1:23" ht="15.75" customHeight="1">
      <c r="A299" s="67"/>
      <c r="B299" s="41"/>
      <c r="C299" s="58" t="s">
        <v>242</v>
      </c>
      <c r="D299" s="42"/>
      <c r="E299" s="43">
        <v>140000</v>
      </c>
      <c r="F299" s="40"/>
      <c r="G299" s="40">
        <f>20000+35000+2000+7000+30000+5500+40500</f>
        <v>140000</v>
      </c>
      <c r="H299" s="40"/>
      <c r="I299" s="40"/>
      <c r="J299" s="40"/>
      <c r="K299" s="40"/>
      <c r="L299" s="40"/>
      <c r="M299" s="40"/>
      <c r="N299" s="40"/>
      <c r="O299" s="40"/>
      <c r="P299" s="40"/>
      <c r="Q299" s="46"/>
      <c r="R299" s="40"/>
      <c r="S299" s="47">
        <f>140000-F299-G299-H299-I299-J299-K299-L299-M299-N299-O299-P299-Q299</f>
        <v>0</v>
      </c>
      <c r="T299" s="4"/>
      <c r="U299" s="4">
        <f t="shared" si="62"/>
        <v>140000</v>
      </c>
      <c r="V299" s="5"/>
      <c r="W299" s="5"/>
    </row>
    <row r="300" spans="1:23" ht="15.75" customHeight="1">
      <c r="A300" s="67"/>
      <c r="B300" s="41"/>
      <c r="C300" s="58" t="s">
        <v>243</v>
      </c>
      <c r="D300" s="42"/>
      <c r="E300" s="43">
        <f>140000-140000</f>
        <v>0</v>
      </c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6"/>
      <c r="R300" s="40"/>
      <c r="S300" s="47">
        <f t="shared" ref="S300:S301" si="73">E300-F300-G300-H300-I300-J300-K300-L300-M300-N300-O300-P300-Q300</f>
        <v>0</v>
      </c>
      <c r="T300" s="4"/>
      <c r="U300" s="4">
        <f t="shared" si="62"/>
        <v>0</v>
      </c>
      <c r="V300" s="5"/>
      <c r="W300" s="5"/>
    </row>
    <row r="301" spans="1:23" ht="15.75" customHeight="1">
      <c r="A301" s="67"/>
      <c r="B301" s="41"/>
      <c r="C301" s="58" t="s">
        <v>244</v>
      </c>
      <c r="D301" s="42"/>
      <c r="E301" s="43">
        <f>100000-100000</f>
        <v>0</v>
      </c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6"/>
      <c r="R301" s="40"/>
      <c r="S301" s="47">
        <f t="shared" si="73"/>
        <v>0</v>
      </c>
      <c r="T301" s="4"/>
      <c r="U301" s="4">
        <f t="shared" si="62"/>
        <v>0</v>
      </c>
      <c r="V301" s="5"/>
      <c r="W301" s="5"/>
    </row>
    <row r="302" spans="1:23" ht="15.75" customHeight="1">
      <c r="A302" s="67"/>
      <c r="B302" s="41"/>
      <c r="C302" s="58" t="s">
        <v>245</v>
      </c>
      <c r="D302" s="42"/>
      <c r="E302" s="43">
        <v>30000</v>
      </c>
      <c r="F302" s="40"/>
      <c r="G302" s="40"/>
      <c r="H302" s="40"/>
      <c r="I302" s="40">
        <f>2000+9000+8000+8000+3000</f>
        <v>30000</v>
      </c>
      <c r="J302" s="40"/>
      <c r="K302" s="40"/>
      <c r="L302" s="40"/>
      <c r="M302" s="40"/>
      <c r="N302" s="40"/>
      <c r="O302" s="40"/>
      <c r="P302" s="40"/>
      <c r="Q302" s="46"/>
      <c r="R302" s="40"/>
      <c r="S302" s="47">
        <f>30000-F302-G302-H302-I302-J302-K302-L302-M302-N302-O302-P302-Q302</f>
        <v>0</v>
      </c>
      <c r="T302" s="4"/>
      <c r="U302" s="4">
        <f t="shared" si="62"/>
        <v>30000</v>
      </c>
      <c r="V302" s="5"/>
      <c r="W302" s="5"/>
    </row>
    <row r="303" spans="1:23" ht="15.75" customHeight="1">
      <c r="A303" s="67"/>
      <c r="B303" s="41"/>
      <c r="C303" s="58" t="s">
        <v>246</v>
      </c>
      <c r="D303" s="42"/>
      <c r="E303" s="43">
        <v>20000</v>
      </c>
      <c r="F303" s="40"/>
      <c r="G303" s="40"/>
      <c r="H303" s="40"/>
      <c r="I303" s="40"/>
      <c r="J303" s="40"/>
      <c r="K303" s="40">
        <f>2000+8000+7000</f>
        <v>17000</v>
      </c>
      <c r="L303" s="40"/>
      <c r="M303" s="40"/>
      <c r="N303" s="40"/>
      <c r="O303" s="40"/>
      <c r="P303" s="40"/>
      <c r="Q303" s="46"/>
      <c r="R303" s="40"/>
      <c r="S303" s="47">
        <f>20000-F303-G303-H303-I303-J303-K303-L303-M303-N303-O303-P303-Q303</f>
        <v>3000</v>
      </c>
      <c r="T303" s="4"/>
      <c r="U303" s="4">
        <f t="shared" si="62"/>
        <v>17000</v>
      </c>
      <c r="V303" s="5"/>
      <c r="W303" s="5"/>
    </row>
    <row r="304" spans="1:23" ht="15.75" customHeight="1">
      <c r="A304" s="67"/>
      <c r="B304" s="41"/>
      <c r="C304" s="58" t="s">
        <v>247</v>
      </c>
      <c r="D304" s="42"/>
      <c r="E304" s="43">
        <v>10000</v>
      </c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6"/>
      <c r="R304" s="40"/>
      <c r="S304" s="47">
        <f t="shared" ref="S304:S308" si="74">10000-F304-G304-H304-I304-J304-K304-L304-M304-N304-O304-P304-Q304</f>
        <v>10000</v>
      </c>
      <c r="T304" s="4"/>
      <c r="U304" s="4">
        <f t="shared" si="62"/>
        <v>0</v>
      </c>
      <c r="V304" s="5"/>
      <c r="W304" s="5"/>
    </row>
    <row r="305" spans="1:23" ht="15.75" customHeight="1">
      <c r="A305" s="67"/>
      <c r="B305" s="41"/>
      <c r="C305" s="58" t="s">
        <v>248</v>
      </c>
      <c r="D305" s="42"/>
      <c r="E305" s="43">
        <v>10000</v>
      </c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6"/>
      <c r="R305" s="40"/>
      <c r="S305" s="47">
        <f t="shared" si="74"/>
        <v>10000</v>
      </c>
      <c r="T305" s="4"/>
      <c r="U305" s="4">
        <f t="shared" si="62"/>
        <v>0</v>
      </c>
      <c r="V305" s="5"/>
      <c r="W305" s="5"/>
    </row>
    <row r="306" spans="1:23" ht="15.75" customHeight="1">
      <c r="A306" s="67"/>
      <c r="B306" s="41"/>
      <c r="C306" s="58" t="s">
        <v>249</v>
      </c>
      <c r="D306" s="42"/>
      <c r="E306" s="43">
        <v>10000</v>
      </c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6"/>
      <c r="R306" s="40"/>
      <c r="S306" s="47">
        <f t="shared" si="74"/>
        <v>10000</v>
      </c>
      <c r="T306" s="4"/>
      <c r="U306" s="4">
        <f t="shared" si="62"/>
        <v>0</v>
      </c>
      <c r="V306" s="5"/>
      <c r="W306" s="5"/>
    </row>
    <row r="307" spans="1:23" ht="15.75" customHeight="1">
      <c r="A307" s="67"/>
      <c r="B307" s="41"/>
      <c r="C307" s="58" t="s">
        <v>250</v>
      </c>
      <c r="D307" s="42"/>
      <c r="E307" s="43">
        <v>10000</v>
      </c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6"/>
      <c r="R307" s="40"/>
      <c r="S307" s="47">
        <f t="shared" si="74"/>
        <v>10000</v>
      </c>
      <c r="T307" s="4"/>
      <c r="U307" s="4">
        <f t="shared" si="62"/>
        <v>0</v>
      </c>
      <c r="V307" s="5"/>
      <c r="W307" s="5"/>
    </row>
    <row r="308" spans="1:23" ht="15.75" customHeight="1">
      <c r="A308" s="67"/>
      <c r="B308" s="41"/>
      <c r="C308" s="58" t="s">
        <v>251</v>
      </c>
      <c r="D308" s="42"/>
      <c r="E308" s="43">
        <v>10000</v>
      </c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6"/>
      <c r="R308" s="40"/>
      <c r="S308" s="47">
        <f t="shared" si="74"/>
        <v>10000</v>
      </c>
      <c r="T308" s="4"/>
      <c r="U308" s="4">
        <f t="shared" si="62"/>
        <v>0</v>
      </c>
      <c r="V308" s="5"/>
      <c r="W308" s="5"/>
    </row>
    <row r="309" spans="1:23" ht="15.75" customHeight="1">
      <c r="A309" s="67"/>
      <c r="B309" s="41"/>
      <c r="C309" s="240" t="s">
        <v>252</v>
      </c>
      <c r="D309" s="42"/>
      <c r="E309" s="43">
        <v>20000</v>
      </c>
      <c r="F309" s="40"/>
      <c r="G309" s="40"/>
      <c r="H309" s="40"/>
      <c r="I309" s="40"/>
      <c r="J309" s="40">
        <f>2000+2000+3000+5000+8000</f>
        <v>20000</v>
      </c>
      <c r="K309" s="40"/>
      <c r="L309" s="40"/>
      <c r="M309" s="40"/>
      <c r="N309" s="40"/>
      <c r="O309" s="40"/>
      <c r="P309" s="40"/>
      <c r="Q309" s="46"/>
      <c r="R309" s="40"/>
      <c r="S309" s="47">
        <f>20000-F309-G309-H309-I309-J309-K309-L309-M309-N309-O309-P309-Q309</f>
        <v>0</v>
      </c>
      <c r="T309" s="4"/>
      <c r="U309" s="4">
        <f t="shared" si="62"/>
        <v>20000</v>
      </c>
      <c r="V309" s="5"/>
      <c r="W309" s="5"/>
    </row>
    <row r="310" spans="1:23" ht="15.75" customHeight="1">
      <c r="A310" s="67"/>
      <c r="B310" s="40" t="s">
        <v>152</v>
      </c>
      <c r="C310" s="41"/>
      <c r="D310" s="57"/>
      <c r="E310" s="43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6"/>
      <c r="R310" s="40"/>
      <c r="S310" s="47"/>
      <c r="T310" s="4"/>
      <c r="U310" s="4">
        <f t="shared" si="62"/>
        <v>0</v>
      </c>
      <c r="V310" s="5"/>
      <c r="W310" s="5"/>
    </row>
    <row r="311" spans="1:23" ht="15.75" customHeight="1">
      <c r="A311" s="67"/>
      <c r="B311" s="41"/>
      <c r="C311" s="58" t="s">
        <v>253</v>
      </c>
      <c r="D311" s="42"/>
      <c r="E311" s="43">
        <v>30000</v>
      </c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6"/>
      <c r="R311" s="40"/>
      <c r="S311" s="47">
        <f t="shared" ref="S311:S312" si="75">30000-F311-G311-H311-I311-J311-K311-L311-M311-N311-O311-P311-Q311</f>
        <v>30000</v>
      </c>
      <c r="T311" s="4"/>
      <c r="U311" s="4">
        <f t="shared" si="62"/>
        <v>0</v>
      </c>
      <c r="V311" s="5"/>
      <c r="W311" s="5"/>
    </row>
    <row r="312" spans="1:23" ht="15.75" customHeight="1">
      <c r="A312" s="67"/>
      <c r="B312" s="33"/>
      <c r="C312" s="65" t="s">
        <v>254</v>
      </c>
      <c r="D312" s="123"/>
      <c r="E312" s="36">
        <v>30000</v>
      </c>
      <c r="F312" s="37"/>
      <c r="G312" s="37"/>
      <c r="H312" s="37"/>
      <c r="I312" s="37"/>
      <c r="J312" s="37"/>
      <c r="K312" s="37"/>
      <c r="L312" s="51">
        <v>5844</v>
      </c>
      <c r="M312" s="37"/>
      <c r="N312" s="37"/>
      <c r="O312" s="37"/>
      <c r="P312" s="37"/>
      <c r="Q312" s="38"/>
      <c r="R312" s="37"/>
      <c r="S312" s="39">
        <f t="shared" si="75"/>
        <v>24156</v>
      </c>
      <c r="T312" s="4"/>
      <c r="U312" s="4">
        <f t="shared" si="62"/>
        <v>5844</v>
      </c>
      <c r="V312" s="5"/>
      <c r="W312" s="5"/>
    </row>
    <row r="313" spans="1:23" ht="15.75" customHeight="1">
      <c r="A313" s="37"/>
      <c r="B313" s="49" t="s">
        <v>81</v>
      </c>
      <c r="C313" s="41"/>
      <c r="D313" s="57">
        <v>1570000</v>
      </c>
      <c r="E313" s="43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6"/>
      <c r="R313" s="40"/>
      <c r="S313" s="47"/>
      <c r="T313" s="4"/>
      <c r="U313" s="4">
        <f t="shared" si="62"/>
        <v>0</v>
      </c>
      <c r="V313" s="5"/>
      <c r="W313" s="5"/>
    </row>
    <row r="314" spans="1:23" ht="15.75" customHeight="1">
      <c r="A314" s="37"/>
      <c r="B314" s="40" t="s">
        <v>153</v>
      </c>
      <c r="C314" s="41"/>
      <c r="D314" s="57"/>
      <c r="E314" s="43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6"/>
      <c r="R314" s="40"/>
      <c r="S314" s="47"/>
      <c r="T314" s="4"/>
      <c r="U314" s="4">
        <f t="shared" si="62"/>
        <v>0</v>
      </c>
      <c r="V314" s="5"/>
      <c r="W314" s="5"/>
    </row>
    <row r="315" spans="1:23" ht="15.75" customHeight="1">
      <c r="A315" s="37"/>
      <c r="B315" s="41"/>
      <c r="C315" s="59" t="s">
        <v>255</v>
      </c>
      <c r="D315" s="42"/>
      <c r="E315" s="43">
        <v>30000</v>
      </c>
      <c r="F315" s="40"/>
      <c r="G315" s="40">
        <f>1360</f>
        <v>1360</v>
      </c>
      <c r="H315" s="40"/>
      <c r="I315" s="40"/>
      <c r="J315" s="40"/>
      <c r="K315" s="40"/>
      <c r="L315" s="40"/>
      <c r="M315" s="40"/>
      <c r="N315" s="40"/>
      <c r="O315" s="40"/>
      <c r="P315" s="40"/>
      <c r="Q315" s="46"/>
      <c r="R315" s="40"/>
      <c r="S315" s="47">
        <f>30000-F315-G315-H315-I315-J315-K315-L315-M315-N315-O315-P315-Q315</f>
        <v>28640</v>
      </c>
      <c r="T315" s="4"/>
      <c r="U315" s="4">
        <f t="shared" si="62"/>
        <v>1360</v>
      </c>
      <c r="V315" s="5"/>
      <c r="W315" s="5"/>
    </row>
    <row r="316" spans="1:23" ht="15.75" customHeight="1">
      <c r="A316" s="37"/>
      <c r="B316" s="40" t="s">
        <v>256</v>
      </c>
      <c r="C316" s="41"/>
      <c r="D316" s="42"/>
      <c r="E316" s="43">
        <v>20000</v>
      </c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4"/>
      <c r="Q316" s="46"/>
      <c r="R316" s="40"/>
      <c r="S316" s="47">
        <f t="shared" ref="S316:S317" si="76">20000-F316-G316-H316-I316-J316-K316-L316-M316-N316-O316-P316-Q316</f>
        <v>20000</v>
      </c>
      <c r="T316" s="4"/>
      <c r="U316" s="4">
        <f t="shared" si="62"/>
        <v>0</v>
      </c>
      <c r="V316" s="5"/>
      <c r="W316" s="5"/>
    </row>
    <row r="317" spans="1:23" ht="15.75" customHeight="1">
      <c r="A317" s="37"/>
      <c r="B317" s="40" t="s">
        <v>257</v>
      </c>
      <c r="C317" s="41"/>
      <c r="D317" s="42"/>
      <c r="E317" s="43">
        <v>20000</v>
      </c>
      <c r="F317" s="40"/>
      <c r="G317" s="40"/>
      <c r="H317" s="40">
        <f>4045+5175</f>
        <v>9220</v>
      </c>
      <c r="I317" s="40"/>
      <c r="J317" s="40"/>
      <c r="K317" s="40"/>
      <c r="L317" s="40"/>
      <c r="M317" s="40"/>
      <c r="N317" s="40"/>
      <c r="O317" s="40"/>
      <c r="P317" s="40"/>
      <c r="Q317" s="46"/>
      <c r="R317" s="40"/>
      <c r="S317" s="47">
        <f t="shared" si="76"/>
        <v>10780</v>
      </c>
      <c r="T317" s="26"/>
      <c r="U317" s="4">
        <f t="shared" si="62"/>
        <v>9220</v>
      </c>
      <c r="V317" s="5"/>
      <c r="W317" s="5"/>
    </row>
    <row r="318" spans="1:23" ht="15.75" customHeight="1">
      <c r="A318" s="37"/>
      <c r="B318" s="40" t="s">
        <v>258</v>
      </c>
      <c r="C318" s="41"/>
      <c r="D318" s="42"/>
      <c r="E318" s="43">
        <v>30000</v>
      </c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4"/>
      <c r="Q318" s="46"/>
      <c r="R318" s="40"/>
      <c r="S318" s="47">
        <f>30000-F318-G318-H318-I318-J318-K318-L318-M318-N318-O318-P318-Q318</f>
        <v>30000</v>
      </c>
      <c r="T318" s="4"/>
      <c r="U318" s="4">
        <f t="shared" si="62"/>
        <v>0</v>
      </c>
      <c r="V318" s="5"/>
      <c r="W318" s="5"/>
    </row>
    <row r="319" spans="1:23" ht="15.75" customHeight="1">
      <c r="A319" s="37"/>
      <c r="B319" s="40" t="s">
        <v>259</v>
      </c>
      <c r="C319" s="41"/>
      <c r="D319" s="42"/>
      <c r="E319" s="43">
        <v>10000</v>
      </c>
      <c r="F319" s="40"/>
      <c r="G319" s="40"/>
      <c r="H319" s="40"/>
      <c r="I319" s="40"/>
      <c r="J319" s="40"/>
      <c r="K319" s="40"/>
      <c r="L319" s="40"/>
      <c r="M319" s="44">
        <v>5800</v>
      </c>
      <c r="N319" s="40"/>
      <c r="O319" s="40"/>
      <c r="P319" s="40"/>
      <c r="Q319" s="46"/>
      <c r="R319" s="40"/>
      <c r="S319" s="47">
        <f t="shared" ref="S319:S321" si="77">10000-F319-G319-H319-I319-J319-K319-L319-M319-N319-O319-P319-Q319</f>
        <v>4200</v>
      </c>
      <c r="T319" s="4"/>
      <c r="U319" s="4">
        <f t="shared" si="62"/>
        <v>5800</v>
      </c>
      <c r="V319" s="27"/>
      <c r="W319" s="27"/>
    </row>
    <row r="320" spans="1:23" ht="15.75" customHeight="1">
      <c r="A320" s="37"/>
      <c r="B320" s="40" t="s">
        <v>260</v>
      </c>
      <c r="C320" s="41"/>
      <c r="D320" s="42"/>
      <c r="E320" s="43">
        <v>10000</v>
      </c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6"/>
      <c r="R320" s="40"/>
      <c r="S320" s="47">
        <f t="shared" si="77"/>
        <v>10000</v>
      </c>
      <c r="T320" s="4"/>
      <c r="U320" s="4">
        <f t="shared" si="62"/>
        <v>0</v>
      </c>
      <c r="V320" s="5"/>
      <c r="W320" s="5"/>
    </row>
    <row r="321" spans="1:23" ht="15.75" customHeight="1">
      <c r="A321" s="37"/>
      <c r="B321" s="40" t="s">
        <v>261</v>
      </c>
      <c r="C321" s="41"/>
      <c r="D321" s="42"/>
      <c r="E321" s="43">
        <v>10000</v>
      </c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6"/>
      <c r="R321" s="40"/>
      <c r="S321" s="47">
        <f t="shared" si="77"/>
        <v>10000</v>
      </c>
      <c r="T321" s="4"/>
      <c r="U321" s="4">
        <f t="shared" si="62"/>
        <v>0</v>
      </c>
      <c r="V321" s="5"/>
      <c r="W321" s="5"/>
    </row>
    <row r="322" spans="1:23" ht="15.75" customHeight="1">
      <c r="A322" s="37"/>
      <c r="B322" s="40" t="s">
        <v>262</v>
      </c>
      <c r="C322" s="41"/>
      <c r="D322" s="42"/>
      <c r="E322" s="43">
        <v>40000</v>
      </c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6"/>
      <c r="R322" s="40"/>
      <c r="S322" s="47">
        <f>40000-F322-G322-H322-I322-J322-K322-L322-M322-N322-O322-P322-Q322</f>
        <v>40000</v>
      </c>
      <c r="T322" s="4"/>
      <c r="U322" s="4">
        <f t="shared" si="62"/>
        <v>0</v>
      </c>
      <c r="V322" s="5"/>
      <c r="W322" s="5"/>
    </row>
    <row r="323" spans="1:23" ht="15.75" customHeight="1">
      <c r="A323" s="37"/>
      <c r="B323" s="40" t="s">
        <v>263</v>
      </c>
      <c r="C323" s="41"/>
      <c r="D323" s="42"/>
      <c r="E323" s="43">
        <v>10000</v>
      </c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6"/>
      <c r="R323" s="40"/>
      <c r="S323" s="47">
        <f>10000-F323-G323-H323-I323-J323-K323-L323-M323-N323-O323-P323-Q323</f>
        <v>10000</v>
      </c>
      <c r="T323" s="4"/>
      <c r="U323" s="4">
        <f t="shared" si="62"/>
        <v>0</v>
      </c>
      <c r="V323" s="5"/>
      <c r="W323" s="5"/>
    </row>
    <row r="324" spans="1:23" ht="15.75" customHeight="1">
      <c r="A324" s="37"/>
      <c r="B324" s="40" t="s">
        <v>264</v>
      </c>
      <c r="C324" s="41"/>
      <c r="D324" s="42"/>
      <c r="E324" s="43">
        <f>1200000-30000-15000-105000</f>
        <v>1050000</v>
      </c>
      <c r="F324" s="40"/>
      <c r="G324" s="40">
        <f>138648.6</f>
        <v>138648.6</v>
      </c>
      <c r="H324" s="44">
        <v>138648.6</v>
      </c>
      <c r="I324" s="40"/>
      <c r="J324" s="44">
        <v>138648.6</v>
      </c>
      <c r="K324" s="44">
        <v>138648.6</v>
      </c>
      <c r="L324" s="40"/>
      <c r="M324" s="40"/>
      <c r="N324" s="40">
        <f>130906.8</f>
        <v>130906.8</v>
      </c>
      <c r="O324" s="40"/>
      <c r="P324" s="44"/>
      <c r="Q324" s="46"/>
      <c r="R324" s="40"/>
      <c r="S324" s="47">
        <f>E324-F324-G324-H324-I324-J324-K324-L324-M324-N324-O324-P324-Q324</f>
        <v>364498.8000000001</v>
      </c>
      <c r="T324" s="4"/>
      <c r="U324" s="4">
        <f t="shared" si="62"/>
        <v>685501.20000000007</v>
      </c>
      <c r="V324" s="5"/>
      <c r="W324" s="5"/>
    </row>
    <row r="325" spans="1:23" ht="15.75" customHeight="1">
      <c r="A325" s="37"/>
      <c r="B325" s="49" t="s">
        <v>95</v>
      </c>
      <c r="C325" s="41"/>
      <c r="D325" s="57">
        <v>110000</v>
      </c>
      <c r="E325" s="43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6"/>
      <c r="R325" s="40"/>
      <c r="S325" s="47"/>
      <c r="T325" s="4"/>
      <c r="U325" s="4">
        <f t="shared" si="62"/>
        <v>0</v>
      </c>
      <c r="V325" s="5"/>
      <c r="W325" s="5"/>
    </row>
    <row r="326" spans="1:23" ht="15.75" customHeight="1">
      <c r="A326" s="37"/>
      <c r="B326" s="40" t="s">
        <v>265</v>
      </c>
      <c r="C326" s="41"/>
      <c r="D326" s="57"/>
      <c r="E326" s="43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6"/>
      <c r="R326" s="40"/>
      <c r="S326" s="47"/>
      <c r="T326" s="4"/>
      <c r="U326" s="4">
        <f t="shared" si="62"/>
        <v>0</v>
      </c>
      <c r="V326" s="5"/>
      <c r="W326" s="5"/>
    </row>
    <row r="327" spans="1:23" ht="15.75" customHeight="1">
      <c r="A327" s="37"/>
      <c r="B327" s="41"/>
      <c r="C327" s="58" t="s">
        <v>266</v>
      </c>
      <c r="D327" s="42"/>
      <c r="E327" s="43">
        <f>80000+30000</f>
        <v>110000</v>
      </c>
      <c r="F327" s="40">
        <f>8154.77</f>
        <v>8154.77</v>
      </c>
      <c r="G327" s="40">
        <f>8523.9</f>
        <v>8523.9</v>
      </c>
      <c r="H327" s="40">
        <f>11435.02</f>
        <v>11435.02</v>
      </c>
      <c r="I327" s="40">
        <f>9114.7</f>
        <v>9114.7000000000007</v>
      </c>
      <c r="J327" s="40">
        <f>9005.99</f>
        <v>9005.99</v>
      </c>
      <c r="K327" s="44">
        <v>12388.04</v>
      </c>
      <c r="L327" s="40">
        <f>13183.86</f>
        <v>13183.86</v>
      </c>
      <c r="M327" s="40">
        <f>1040.07</f>
        <v>1040.07</v>
      </c>
      <c r="N327" s="40">
        <f>397.3+10086.53</f>
        <v>10483.83</v>
      </c>
      <c r="O327" s="44">
        <f>12921.24</f>
        <v>12921.24</v>
      </c>
      <c r="P327" s="44"/>
      <c r="Q327" s="46"/>
      <c r="R327" s="40"/>
      <c r="S327" s="47">
        <f>E327-F327-G327-H327-I327-J327-K327-L327-M327-N327-O327-P327-Q327</f>
        <v>13748.58</v>
      </c>
      <c r="T327" s="4"/>
      <c r="U327" s="4">
        <f t="shared" si="62"/>
        <v>96251.420000000013</v>
      </c>
      <c r="V327" s="5"/>
      <c r="W327" s="5"/>
    </row>
    <row r="328" spans="1:23" ht="15.75" customHeight="1">
      <c r="A328" s="37"/>
      <c r="B328" s="41"/>
      <c r="C328" s="58" t="s">
        <v>267</v>
      </c>
      <c r="D328" s="42"/>
      <c r="E328" s="43">
        <v>20000</v>
      </c>
      <c r="F328" s="40">
        <f t="shared" ref="F328:G328" si="78">631.3</f>
        <v>631.29999999999995</v>
      </c>
      <c r="G328" s="40">
        <f t="shared" si="78"/>
        <v>631.29999999999995</v>
      </c>
      <c r="H328" s="40"/>
      <c r="I328" s="40">
        <f>631.3</f>
        <v>631.29999999999995</v>
      </c>
      <c r="J328" s="44">
        <f>631.3+952.3</f>
        <v>1583.6</v>
      </c>
      <c r="K328" s="40">
        <f>631.3</f>
        <v>631.29999999999995</v>
      </c>
      <c r="L328" s="44">
        <v>631.29999999999995</v>
      </c>
      <c r="M328" s="44">
        <v>631.29999999999995</v>
      </c>
      <c r="N328" s="40">
        <f>631.3</f>
        <v>631.29999999999995</v>
      </c>
      <c r="O328" s="44"/>
      <c r="P328" s="44"/>
      <c r="Q328" s="46"/>
      <c r="R328" s="40"/>
      <c r="S328" s="47">
        <f>20000-F328-G328-H328-I328-J328-K328-L328-M328-N328-O328-P328-Q328</f>
        <v>13997.300000000007</v>
      </c>
      <c r="T328" s="4"/>
      <c r="U328" s="4">
        <f t="shared" si="62"/>
        <v>6002.7000000000007</v>
      </c>
      <c r="V328" s="5"/>
      <c r="W328" s="5"/>
    </row>
    <row r="329" spans="1:23" ht="15.75" customHeight="1">
      <c r="A329" s="33"/>
      <c r="B329" s="142"/>
      <c r="C329" s="241" t="s">
        <v>268</v>
      </c>
      <c r="D329" s="50"/>
      <c r="E329" s="143">
        <v>10000</v>
      </c>
      <c r="F329" s="144">
        <f>952.3</f>
        <v>952.3</v>
      </c>
      <c r="G329" s="144">
        <v>952.3</v>
      </c>
      <c r="H329" s="144">
        <v>952.3</v>
      </c>
      <c r="I329" s="144">
        <v>952.3</v>
      </c>
      <c r="J329" s="141"/>
      <c r="K329" s="144">
        <f>952.3</f>
        <v>952.3</v>
      </c>
      <c r="L329" s="144">
        <v>952.3</v>
      </c>
      <c r="M329" s="144">
        <v>952.3</v>
      </c>
      <c r="N329" s="141">
        <f>1130.71+952.3</f>
        <v>2083.0100000000002</v>
      </c>
      <c r="O329" s="141"/>
      <c r="P329" s="141"/>
      <c r="Q329" s="145"/>
      <c r="R329" s="141"/>
      <c r="S329" s="242">
        <f>10000-F329-G329-H329-I329-J329-K329-L329-M329-N329-O329-P329-Q329</f>
        <v>1250.8899999999994</v>
      </c>
      <c r="T329" s="4"/>
      <c r="U329" s="4">
        <f t="shared" si="62"/>
        <v>8749.11</v>
      </c>
      <c r="V329" s="5"/>
      <c r="W329" s="5"/>
    </row>
    <row r="330" spans="1:23" ht="15.75" customHeight="1">
      <c r="A330" s="52"/>
      <c r="B330" s="53"/>
      <c r="C330" s="53"/>
      <c r="D330" s="53"/>
      <c r="E330" s="54"/>
      <c r="F330" s="55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9"/>
      <c r="T330" s="4"/>
      <c r="U330" s="4">
        <f t="shared" si="62"/>
        <v>0</v>
      </c>
      <c r="V330" s="5"/>
      <c r="W330" s="5"/>
    </row>
    <row r="331" spans="1:23" ht="15.75" customHeight="1">
      <c r="A331" s="243"/>
      <c r="B331" s="204" t="s">
        <v>103</v>
      </c>
      <c r="C331" s="204"/>
      <c r="D331" s="204"/>
      <c r="E331" s="244"/>
      <c r="F331" s="204"/>
      <c r="G331" s="204"/>
      <c r="H331" s="204"/>
      <c r="I331" s="204"/>
      <c r="J331" s="204"/>
      <c r="K331" s="204"/>
      <c r="L331" s="204"/>
      <c r="M331" s="204"/>
      <c r="N331" s="204"/>
      <c r="O331" s="204"/>
      <c r="P331" s="204"/>
      <c r="Q331" s="204"/>
      <c r="R331" s="204"/>
      <c r="S331" s="245"/>
      <c r="T331" s="4"/>
      <c r="U331" s="4">
        <f t="shared" si="62"/>
        <v>0</v>
      </c>
      <c r="V331" s="5"/>
      <c r="W331" s="5"/>
    </row>
    <row r="332" spans="1:23" ht="15.75" customHeight="1">
      <c r="A332" s="167"/>
      <c r="B332" s="246" t="s">
        <v>269</v>
      </c>
      <c r="C332" s="246" t="s">
        <v>270</v>
      </c>
      <c r="D332" s="167"/>
      <c r="E332" s="247">
        <v>5500</v>
      </c>
      <c r="F332" s="248"/>
      <c r="G332" s="249"/>
      <c r="H332" s="249"/>
      <c r="I332" s="249"/>
      <c r="J332" s="250"/>
      <c r="K332" s="249"/>
      <c r="L332" s="249"/>
      <c r="M332" s="249"/>
      <c r="N332" s="249"/>
      <c r="O332" s="250"/>
      <c r="P332" s="249"/>
      <c r="Q332" s="251"/>
      <c r="R332" s="173"/>
      <c r="S332" s="252">
        <f>5500-F332-G332-H332-I332-J332-K332-L332-M332-N332-O332-P332-Q332</f>
        <v>5500</v>
      </c>
      <c r="T332" s="4"/>
      <c r="U332" s="4">
        <f t="shared" si="62"/>
        <v>0</v>
      </c>
      <c r="V332" s="5"/>
      <c r="W332" s="5"/>
    </row>
    <row r="333" spans="1:23" ht="15.75" customHeight="1">
      <c r="A333" s="167"/>
      <c r="B333" s="253" t="s">
        <v>271</v>
      </c>
      <c r="C333" s="19"/>
      <c r="D333" s="254"/>
      <c r="E333" s="255">
        <f>7100-7100</f>
        <v>0</v>
      </c>
      <c r="F333" s="256"/>
      <c r="G333" s="167"/>
      <c r="H333" s="167"/>
      <c r="I333" s="167"/>
      <c r="J333" s="167"/>
      <c r="K333" s="257"/>
      <c r="L333" s="167"/>
      <c r="M333" s="167"/>
      <c r="N333" s="167"/>
      <c r="O333" s="167"/>
      <c r="P333" s="167"/>
      <c r="Q333" s="258"/>
      <c r="R333" s="259"/>
      <c r="S333" s="260">
        <f t="shared" ref="S333:S336" si="79">E333-F333-G333-H333-I333-J333-K333-L333-M333-N333-O333-P333-Q333</f>
        <v>0</v>
      </c>
      <c r="T333" s="4"/>
      <c r="U333" s="4">
        <f t="shared" si="62"/>
        <v>0</v>
      </c>
      <c r="V333" s="5"/>
      <c r="W333" s="5"/>
    </row>
    <row r="334" spans="1:23" ht="15.75" customHeight="1">
      <c r="A334" s="261"/>
      <c r="B334" s="262" t="s">
        <v>272</v>
      </c>
      <c r="C334" s="262" t="s">
        <v>273</v>
      </c>
      <c r="D334" s="261"/>
      <c r="E334" s="263">
        <f>17000-17000</f>
        <v>0</v>
      </c>
      <c r="F334" s="256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258"/>
      <c r="R334" s="164"/>
      <c r="S334" s="260">
        <f t="shared" si="79"/>
        <v>0</v>
      </c>
      <c r="T334" s="4"/>
      <c r="U334" s="4">
        <f t="shared" si="62"/>
        <v>0</v>
      </c>
      <c r="V334" s="5"/>
      <c r="W334" s="5"/>
    </row>
    <row r="335" spans="1:23" ht="15.75" customHeight="1">
      <c r="A335" s="112"/>
      <c r="B335" s="116" t="s">
        <v>274</v>
      </c>
      <c r="C335" s="116" t="s">
        <v>275</v>
      </c>
      <c r="D335" s="112"/>
      <c r="E335" s="264">
        <f>2500-2500</f>
        <v>0</v>
      </c>
      <c r="F335" s="256"/>
      <c r="G335" s="265"/>
      <c r="H335" s="265"/>
      <c r="I335" s="265"/>
      <c r="J335" s="265"/>
      <c r="K335" s="265"/>
      <c r="L335" s="265"/>
      <c r="M335" s="265"/>
      <c r="N335" s="265"/>
      <c r="O335" s="265"/>
      <c r="P335" s="265"/>
      <c r="Q335" s="266"/>
      <c r="R335" s="175"/>
      <c r="S335" s="267">
        <f t="shared" si="79"/>
        <v>0</v>
      </c>
      <c r="T335" s="4"/>
      <c r="U335" s="4">
        <f t="shared" si="62"/>
        <v>0</v>
      </c>
      <c r="V335" s="5"/>
      <c r="W335" s="5"/>
    </row>
    <row r="336" spans="1:23" ht="15.75" customHeight="1">
      <c r="A336" s="112"/>
      <c r="B336" s="116" t="s">
        <v>276</v>
      </c>
      <c r="C336" s="116" t="s">
        <v>277</v>
      </c>
      <c r="D336" s="112"/>
      <c r="E336" s="264">
        <v>36000</v>
      </c>
      <c r="F336" s="256"/>
      <c r="G336" s="265"/>
      <c r="H336" s="265"/>
      <c r="I336" s="265"/>
      <c r="J336" s="265"/>
      <c r="K336" s="265"/>
      <c r="L336" s="265"/>
      <c r="M336" s="265"/>
      <c r="N336" s="265"/>
      <c r="O336" s="265"/>
      <c r="P336" s="265"/>
      <c r="Q336" s="266"/>
      <c r="R336" s="175"/>
      <c r="S336" s="267">
        <f t="shared" si="79"/>
        <v>36000</v>
      </c>
      <c r="T336" s="4"/>
      <c r="U336" s="4"/>
      <c r="V336" s="5"/>
      <c r="W336" s="5"/>
    </row>
    <row r="337" spans="1:23" ht="15.75" customHeight="1">
      <c r="A337" s="268" t="s">
        <v>278</v>
      </c>
      <c r="B337" s="18"/>
      <c r="C337" s="19"/>
      <c r="D337" s="112"/>
      <c r="E337" s="168"/>
      <c r="F337" s="269"/>
      <c r="G337" s="265"/>
      <c r="H337" s="265"/>
      <c r="I337" s="265"/>
      <c r="J337" s="265"/>
      <c r="K337" s="265"/>
      <c r="L337" s="265"/>
      <c r="M337" s="265"/>
      <c r="N337" s="265"/>
      <c r="O337" s="265"/>
      <c r="P337" s="265"/>
      <c r="Q337" s="266"/>
      <c r="R337" s="175"/>
      <c r="S337" s="115"/>
      <c r="T337" s="4"/>
      <c r="U337" s="4">
        <f t="shared" ref="U337:U369" si="80">SUM(F337:Q337)</f>
        <v>0</v>
      </c>
      <c r="V337" s="5"/>
      <c r="W337" s="5"/>
    </row>
    <row r="338" spans="1:23" ht="15.75" customHeight="1">
      <c r="A338" s="112"/>
      <c r="B338" s="116" t="s">
        <v>269</v>
      </c>
      <c r="C338" s="116" t="s">
        <v>279</v>
      </c>
      <c r="D338" s="112"/>
      <c r="E338" s="168">
        <v>30000</v>
      </c>
      <c r="F338" s="269"/>
      <c r="G338" s="265"/>
      <c r="H338" s="265"/>
      <c r="I338" s="265"/>
      <c r="J338" s="265"/>
      <c r="K338" s="265"/>
      <c r="L338" s="265"/>
      <c r="M338" s="265"/>
      <c r="N338" s="265"/>
      <c r="O338" s="265"/>
      <c r="P338" s="265"/>
      <c r="Q338" s="266"/>
      <c r="R338" s="175"/>
      <c r="S338" s="115">
        <f>30000-F338-G338-H338-I338-J338-K338-L338-M338-N338-O338-P338-Q338</f>
        <v>30000</v>
      </c>
      <c r="T338" s="4"/>
      <c r="U338" s="4">
        <f t="shared" si="80"/>
        <v>0</v>
      </c>
      <c r="V338" s="5"/>
      <c r="W338" s="5"/>
    </row>
    <row r="339" spans="1:23" ht="15.75" customHeight="1">
      <c r="A339" s="154"/>
      <c r="B339" s="157" t="s">
        <v>280</v>
      </c>
      <c r="C339" s="157" t="s">
        <v>281</v>
      </c>
      <c r="D339" s="154"/>
      <c r="E339" s="270">
        <f>2000000-100000</f>
        <v>1900000</v>
      </c>
      <c r="F339" s="269">
        <f>241000+200000+31000</f>
        <v>472000</v>
      </c>
      <c r="G339" s="265"/>
      <c r="H339" s="265"/>
      <c r="I339" s="265">
        <f>243000+32000+198000</f>
        <v>473000</v>
      </c>
      <c r="J339" s="265"/>
      <c r="K339" s="265"/>
      <c r="L339" s="265"/>
      <c r="M339" s="265"/>
      <c r="N339" s="265">
        <f>32000+243000+198000</f>
        <v>473000</v>
      </c>
      <c r="O339" s="265"/>
      <c r="P339" s="265"/>
      <c r="Q339" s="266"/>
      <c r="R339" s="35"/>
      <c r="S339" s="140">
        <f>E339-F339-G339-H339-I339-J339-K339-L339-M339-N339-O339-P339-Q339</f>
        <v>482000</v>
      </c>
      <c r="T339" s="4"/>
      <c r="U339" s="4">
        <f t="shared" si="80"/>
        <v>1418000</v>
      </c>
      <c r="V339" s="5"/>
      <c r="W339" s="5"/>
    </row>
    <row r="340" spans="1:23" ht="15.75" customHeight="1">
      <c r="A340" s="154"/>
      <c r="B340" s="138"/>
      <c r="C340" s="138"/>
      <c r="D340" s="154"/>
      <c r="E340" s="270"/>
      <c r="F340" s="269"/>
      <c r="G340" s="265"/>
      <c r="H340" s="265"/>
      <c r="I340" s="265"/>
      <c r="J340" s="265"/>
      <c r="K340" s="265"/>
      <c r="L340" s="265"/>
      <c r="M340" s="265"/>
      <c r="N340" s="265"/>
      <c r="O340" s="265"/>
      <c r="P340" s="265"/>
      <c r="Q340" s="266"/>
      <c r="R340" s="35"/>
      <c r="S340" s="140"/>
      <c r="T340" s="4"/>
      <c r="U340" s="4">
        <f t="shared" si="80"/>
        <v>0</v>
      </c>
      <c r="V340" s="5"/>
      <c r="W340" s="5"/>
    </row>
    <row r="341" spans="1:23" ht="15.75" customHeight="1">
      <c r="A341" s="154"/>
      <c r="B341" s="138"/>
      <c r="C341" s="138"/>
      <c r="D341" s="154"/>
      <c r="E341" s="270"/>
      <c r="F341" s="271"/>
      <c r="G341" s="272"/>
      <c r="H341" s="272"/>
      <c r="I341" s="272"/>
      <c r="J341" s="272"/>
      <c r="K341" s="272"/>
      <c r="L341" s="272"/>
      <c r="M341" s="272"/>
      <c r="N341" s="272"/>
      <c r="O341" s="272"/>
      <c r="P341" s="272"/>
      <c r="Q341" s="273"/>
      <c r="R341" s="35"/>
      <c r="S341" s="140"/>
      <c r="T341" s="4"/>
      <c r="U341" s="4">
        <f t="shared" si="80"/>
        <v>0</v>
      </c>
      <c r="V341" s="5"/>
      <c r="W341" s="5"/>
    </row>
    <row r="342" spans="1:23" ht="15.75" customHeight="1" thickBot="1">
      <c r="A342" s="274" t="s">
        <v>282</v>
      </c>
      <c r="B342" s="275"/>
      <c r="C342" s="275"/>
      <c r="D342" s="275"/>
      <c r="E342" s="275"/>
      <c r="F342" s="275"/>
      <c r="G342" s="275"/>
      <c r="H342" s="275"/>
      <c r="I342" s="275"/>
      <c r="J342" s="275"/>
      <c r="K342" s="275"/>
      <c r="L342" s="275"/>
      <c r="M342" s="275"/>
      <c r="N342" s="275"/>
      <c r="O342" s="275"/>
      <c r="P342" s="275"/>
      <c r="Q342" s="275"/>
      <c r="R342" s="275"/>
      <c r="S342" s="276"/>
      <c r="T342" s="4"/>
      <c r="U342" s="4">
        <f t="shared" si="80"/>
        <v>0</v>
      </c>
      <c r="V342" s="5"/>
      <c r="W342" s="5"/>
    </row>
    <row r="343" spans="1:23" ht="19.5" customHeight="1" thickTop="1" thickBot="1">
      <c r="A343" s="124" t="s">
        <v>133</v>
      </c>
      <c r="B343" s="125"/>
      <c r="C343" s="125"/>
      <c r="D343" s="126"/>
      <c r="E343" s="127">
        <f>SUM(E270:E334,E338,E336,E337,E335,E339)</f>
        <v>8489500</v>
      </c>
      <c r="F343" s="128">
        <f t="shared" ref="F343:Q343" si="81">SUM(F270:F341)</f>
        <v>790363.37</v>
      </c>
      <c r="G343" s="128">
        <f t="shared" si="81"/>
        <v>555741.10000000009</v>
      </c>
      <c r="H343" s="128">
        <f t="shared" si="81"/>
        <v>554420.92000000004</v>
      </c>
      <c r="I343" s="128">
        <f t="shared" si="81"/>
        <v>870023.3</v>
      </c>
      <c r="J343" s="128">
        <f t="shared" si="81"/>
        <v>450107.18999999994</v>
      </c>
      <c r="K343" s="128">
        <f t="shared" si="81"/>
        <v>459073.23999999993</v>
      </c>
      <c r="L343" s="128">
        <f t="shared" si="81"/>
        <v>343751.45999999996</v>
      </c>
      <c r="M343" s="128">
        <f t="shared" si="81"/>
        <v>290863.67</v>
      </c>
      <c r="N343" s="128">
        <f t="shared" si="81"/>
        <v>898516.94</v>
      </c>
      <c r="O343" s="128">
        <f t="shared" si="81"/>
        <v>52921.24</v>
      </c>
      <c r="P343" s="128">
        <f t="shared" si="81"/>
        <v>0</v>
      </c>
      <c r="Q343" s="128">
        <f t="shared" si="81"/>
        <v>0</v>
      </c>
      <c r="R343" s="128">
        <f>SUM(R270:R334,R338,R337,R335)</f>
        <v>0</v>
      </c>
      <c r="S343" s="130">
        <f>SUM(S270:S341)</f>
        <v>3223717.5700000003</v>
      </c>
      <c r="T343" s="131">
        <f>F343+G343+H343+I343+J343+K343+L343+M343+N343+O343+P343+Q343+S343</f>
        <v>8489500</v>
      </c>
      <c r="U343" s="4">
        <f t="shared" si="80"/>
        <v>5265782.43</v>
      </c>
      <c r="V343" s="5"/>
      <c r="W343" s="5"/>
    </row>
    <row r="344" spans="1:23" ht="29.25" customHeight="1" thickTop="1">
      <c r="A344" s="277"/>
      <c r="B344" s="65"/>
      <c r="C344" s="65"/>
      <c r="D344" s="277"/>
      <c r="E344" s="183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183"/>
      <c r="R344" s="65"/>
      <c r="S344" s="65"/>
      <c r="T344" s="4"/>
      <c r="U344" s="4">
        <f t="shared" si="80"/>
        <v>0</v>
      </c>
      <c r="V344" s="5"/>
      <c r="W344" s="5"/>
    </row>
    <row r="345" spans="1:23" ht="24.75" customHeight="1">
      <c r="A345" s="15" t="s">
        <v>283</v>
      </c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4"/>
      <c r="U345" s="4">
        <f t="shared" si="80"/>
        <v>0</v>
      </c>
      <c r="V345" s="5"/>
      <c r="W345" s="5"/>
    </row>
    <row r="346" spans="1:23" ht="15.75" customHeight="1">
      <c r="A346" s="17"/>
      <c r="B346" s="18"/>
      <c r="C346" s="18"/>
      <c r="D346" s="19"/>
      <c r="E346" s="148" t="s">
        <v>2</v>
      </c>
      <c r="F346" s="149" t="s">
        <v>3</v>
      </c>
      <c r="G346" s="149" t="s">
        <v>4</v>
      </c>
      <c r="H346" s="149" t="s">
        <v>5</v>
      </c>
      <c r="I346" s="149" t="s">
        <v>6</v>
      </c>
      <c r="J346" s="149" t="s">
        <v>7</v>
      </c>
      <c r="K346" s="149" t="s">
        <v>8</v>
      </c>
      <c r="L346" s="149" t="s">
        <v>9</v>
      </c>
      <c r="M346" s="149" t="s">
        <v>10</v>
      </c>
      <c r="N346" s="150" t="s">
        <v>11</v>
      </c>
      <c r="O346" s="149" t="s">
        <v>12</v>
      </c>
      <c r="P346" s="151" t="s">
        <v>13</v>
      </c>
      <c r="Q346" s="151" t="s">
        <v>14</v>
      </c>
      <c r="R346" s="152"/>
      <c r="S346" s="239" t="s">
        <v>15</v>
      </c>
      <c r="T346" s="4"/>
      <c r="U346" s="4">
        <f t="shared" si="80"/>
        <v>0</v>
      </c>
      <c r="V346" s="5"/>
      <c r="W346" s="5"/>
    </row>
    <row r="347" spans="1:23" ht="15.75" customHeight="1">
      <c r="A347" s="137" t="s">
        <v>189</v>
      </c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9"/>
      <c r="T347" s="4"/>
      <c r="U347" s="4">
        <f t="shared" si="80"/>
        <v>0</v>
      </c>
      <c r="V347" s="5"/>
      <c r="W347" s="5"/>
    </row>
    <row r="348" spans="1:23" ht="15.75" customHeight="1">
      <c r="A348" s="33"/>
      <c r="B348" s="154" t="s">
        <v>25</v>
      </c>
      <c r="C348" s="155"/>
      <c r="D348" s="56">
        <v>170000</v>
      </c>
      <c r="E348" s="156"/>
      <c r="F348" s="138"/>
      <c r="G348" s="138"/>
      <c r="H348" s="138"/>
      <c r="I348" s="138"/>
      <c r="J348" s="138"/>
      <c r="K348" s="138"/>
      <c r="L348" s="138"/>
      <c r="M348" s="138"/>
      <c r="N348" s="138"/>
      <c r="O348" s="138"/>
      <c r="P348" s="138"/>
      <c r="Q348" s="139"/>
      <c r="R348" s="265"/>
      <c r="S348" s="140"/>
      <c r="T348" s="4"/>
      <c r="U348" s="4">
        <f t="shared" si="80"/>
        <v>0</v>
      </c>
      <c r="V348" s="5"/>
      <c r="W348" s="5"/>
    </row>
    <row r="349" spans="1:23" ht="15.75" customHeight="1">
      <c r="A349" s="33"/>
      <c r="B349" s="40" t="s">
        <v>137</v>
      </c>
      <c r="C349" s="41"/>
      <c r="D349" s="42"/>
      <c r="E349" s="218">
        <f>100000-100000</f>
        <v>0</v>
      </c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6"/>
      <c r="R349" s="265"/>
      <c r="S349" s="219">
        <f t="shared" ref="S349:S352" si="82">E349-F349-G349-H349-I349-J349-K349-L349-M349-N349-O349-P349-Q349</f>
        <v>0</v>
      </c>
      <c r="T349" s="4"/>
      <c r="U349" s="4">
        <f t="shared" si="80"/>
        <v>0</v>
      </c>
      <c r="V349" s="5"/>
      <c r="W349" s="5"/>
    </row>
    <row r="350" spans="1:23" ht="15.75" customHeight="1">
      <c r="A350" s="33"/>
      <c r="B350" s="40" t="s">
        <v>284</v>
      </c>
      <c r="C350" s="41"/>
      <c r="D350" s="42"/>
      <c r="E350" s="43">
        <f>42000-8000-10000</f>
        <v>24000</v>
      </c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6"/>
      <c r="R350" s="265"/>
      <c r="S350" s="47">
        <f t="shared" si="82"/>
        <v>24000</v>
      </c>
      <c r="T350" s="26"/>
      <c r="U350" s="4">
        <f t="shared" si="80"/>
        <v>0</v>
      </c>
      <c r="V350" s="5"/>
      <c r="W350" s="5"/>
    </row>
    <row r="351" spans="1:23" ht="15.75" customHeight="1">
      <c r="A351" s="33"/>
      <c r="B351" s="40" t="s">
        <v>157</v>
      </c>
      <c r="C351" s="41"/>
      <c r="D351" s="42"/>
      <c r="E351" s="43">
        <f>113000-40000</f>
        <v>73000</v>
      </c>
      <c r="F351" s="278"/>
      <c r="G351" s="278"/>
      <c r="H351" s="278"/>
      <c r="I351" s="278"/>
      <c r="J351" s="278"/>
      <c r="K351" s="278"/>
      <c r="L351" s="278"/>
      <c r="M351" s="278"/>
      <c r="N351" s="279">
        <v>11500</v>
      </c>
      <c r="O351" s="278"/>
      <c r="P351" s="278"/>
      <c r="Q351" s="280"/>
      <c r="R351" s="265"/>
      <c r="S351" s="47">
        <f t="shared" si="82"/>
        <v>61500</v>
      </c>
      <c r="T351" s="65"/>
      <c r="U351" s="4">
        <f t="shared" si="80"/>
        <v>11500</v>
      </c>
      <c r="V351" s="5"/>
      <c r="W351" s="5"/>
    </row>
    <row r="352" spans="1:23" ht="15.75" customHeight="1">
      <c r="A352" s="33"/>
      <c r="B352" s="141" t="s">
        <v>158</v>
      </c>
      <c r="C352" s="142"/>
      <c r="D352" s="50"/>
      <c r="E352" s="143">
        <f>25000-15000</f>
        <v>10000</v>
      </c>
      <c r="F352" s="141"/>
      <c r="G352" s="141"/>
      <c r="H352" s="141"/>
      <c r="I352" s="141"/>
      <c r="J352" s="141"/>
      <c r="K352" s="141"/>
      <c r="L352" s="141"/>
      <c r="M352" s="141"/>
      <c r="N352" s="144">
        <v>1785</v>
      </c>
      <c r="O352" s="141"/>
      <c r="P352" s="141"/>
      <c r="Q352" s="145"/>
      <c r="R352" s="265"/>
      <c r="S352" s="90">
        <f t="shared" si="82"/>
        <v>8215</v>
      </c>
      <c r="T352" s="65"/>
      <c r="U352" s="4">
        <f t="shared" si="80"/>
        <v>1785</v>
      </c>
      <c r="V352" s="5"/>
      <c r="W352" s="5"/>
    </row>
    <row r="353" spans="1:23" ht="15.75" customHeight="1">
      <c r="A353" s="52" t="s">
        <v>142</v>
      </c>
      <c r="B353" s="53"/>
      <c r="C353" s="53"/>
      <c r="D353" s="53"/>
      <c r="E353" s="54"/>
      <c r="F353" s="55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9"/>
      <c r="T353" s="65"/>
      <c r="U353" s="4">
        <f t="shared" si="80"/>
        <v>0</v>
      </c>
      <c r="V353" s="27"/>
      <c r="W353" s="27"/>
    </row>
    <row r="354" spans="1:23" ht="15.75" customHeight="1">
      <c r="A354" s="33"/>
      <c r="B354" s="112" t="s">
        <v>33</v>
      </c>
      <c r="C354" s="155"/>
      <c r="D354" s="56">
        <v>30000</v>
      </c>
      <c r="E354" s="156"/>
      <c r="F354" s="138"/>
      <c r="G354" s="138"/>
      <c r="H354" s="138"/>
      <c r="I354" s="138"/>
      <c r="J354" s="138"/>
      <c r="K354" s="138"/>
      <c r="L354" s="138"/>
      <c r="M354" s="138"/>
      <c r="N354" s="138"/>
      <c r="O354" s="138"/>
      <c r="P354" s="138"/>
      <c r="Q354" s="139"/>
      <c r="R354" s="138"/>
      <c r="S354" s="140"/>
      <c r="T354" s="65"/>
      <c r="U354" s="4">
        <f t="shared" si="80"/>
        <v>0</v>
      </c>
      <c r="V354" s="281"/>
      <c r="W354" s="281"/>
    </row>
    <row r="355" spans="1:23" ht="15.75" customHeight="1">
      <c r="A355" s="33"/>
      <c r="B355" s="138" t="s">
        <v>143</v>
      </c>
      <c r="C355" s="68"/>
      <c r="D355" s="68"/>
      <c r="E355" s="69">
        <f>32000-32000</f>
        <v>0</v>
      </c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6"/>
      <c r="R355" s="40"/>
      <c r="S355" s="47">
        <f>E355-F355-G355-H355-I355-J355-K355-L355-M355-N355-O355-P355-Q355</f>
        <v>0</v>
      </c>
      <c r="T355" s="65"/>
      <c r="U355" s="4">
        <f t="shared" si="80"/>
        <v>0</v>
      </c>
      <c r="V355" s="281"/>
      <c r="W355" s="281"/>
    </row>
    <row r="356" spans="1:23" ht="15.75" customHeight="1">
      <c r="A356" s="33"/>
      <c r="B356" s="40" t="s">
        <v>144</v>
      </c>
      <c r="C356" s="41"/>
      <c r="D356" s="42"/>
      <c r="E356" s="43">
        <v>10000</v>
      </c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6"/>
      <c r="R356" s="40"/>
      <c r="S356" s="47">
        <f>10000-F356-G356-H356-I356-J356-K356-L356-M356-N356-O356-P356-Q356</f>
        <v>10000</v>
      </c>
      <c r="T356" s="4"/>
      <c r="U356" s="4">
        <f t="shared" si="80"/>
        <v>0</v>
      </c>
      <c r="V356" s="281"/>
      <c r="W356" s="281"/>
    </row>
    <row r="357" spans="1:23" ht="15.75" customHeight="1">
      <c r="A357" s="33"/>
      <c r="B357" s="49" t="s">
        <v>38</v>
      </c>
      <c r="C357" s="41"/>
      <c r="D357" s="92">
        <v>140000</v>
      </c>
      <c r="E357" s="43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6"/>
      <c r="R357" s="40"/>
      <c r="S357" s="47"/>
      <c r="T357" s="4"/>
      <c r="U357" s="4">
        <f t="shared" si="80"/>
        <v>0</v>
      </c>
      <c r="V357" s="281"/>
      <c r="W357" s="281"/>
    </row>
    <row r="358" spans="1:23" ht="15.75" customHeight="1">
      <c r="A358" s="33"/>
      <c r="B358" s="40" t="s">
        <v>285</v>
      </c>
      <c r="C358" s="41"/>
      <c r="D358" s="42"/>
      <c r="E358" s="43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6"/>
      <c r="R358" s="40"/>
      <c r="S358" s="47"/>
      <c r="T358" s="4"/>
      <c r="U358" s="4">
        <f t="shared" si="80"/>
        <v>0</v>
      </c>
      <c r="V358" s="281"/>
      <c r="W358" s="281"/>
    </row>
    <row r="359" spans="1:23" ht="15.75" customHeight="1">
      <c r="A359" s="33"/>
      <c r="B359" s="41"/>
      <c r="C359" s="58" t="s">
        <v>40</v>
      </c>
      <c r="D359" s="42"/>
      <c r="E359" s="43">
        <v>20000</v>
      </c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6"/>
      <c r="R359" s="40"/>
      <c r="S359" s="47">
        <f>20000-F359-G359-H359-I359-J359-K359-L359-M359-N359-O359-P359-Q359</f>
        <v>20000</v>
      </c>
      <c r="T359" s="4"/>
      <c r="U359" s="4">
        <f t="shared" si="80"/>
        <v>0</v>
      </c>
      <c r="V359" s="5"/>
      <c r="W359" s="5"/>
    </row>
    <row r="360" spans="1:23" ht="15.75" customHeight="1">
      <c r="A360" s="33"/>
      <c r="B360" s="41" t="s">
        <v>286</v>
      </c>
      <c r="C360" s="58"/>
      <c r="D360" s="42"/>
      <c r="E360" s="43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6"/>
      <c r="R360" s="40"/>
      <c r="S360" s="47"/>
      <c r="T360" s="4"/>
      <c r="U360" s="4">
        <f t="shared" si="80"/>
        <v>0</v>
      </c>
      <c r="V360" s="5"/>
      <c r="W360" s="5"/>
    </row>
    <row r="361" spans="1:23" ht="15.75" customHeight="1">
      <c r="A361" s="33"/>
      <c r="B361" s="41"/>
      <c r="C361" s="58" t="s">
        <v>52</v>
      </c>
      <c r="D361" s="42"/>
      <c r="E361" s="43">
        <v>20000</v>
      </c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6"/>
      <c r="R361" s="40"/>
      <c r="S361" s="47">
        <f t="shared" ref="S361:S364" si="83">20000-F361-G361-H361-I361-J361-K361-L361-M361-N361-O361-P361-Q361</f>
        <v>20000</v>
      </c>
      <c r="T361" s="65"/>
      <c r="U361" s="4">
        <f t="shared" si="80"/>
        <v>0</v>
      </c>
      <c r="V361" s="5"/>
      <c r="W361" s="5"/>
    </row>
    <row r="362" spans="1:23" ht="15.75" customHeight="1">
      <c r="A362" s="33"/>
      <c r="B362" s="41"/>
      <c r="C362" s="58" t="s">
        <v>287</v>
      </c>
      <c r="D362" s="42"/>
      <c r="E362" s="43">
        <v>20000</v>
      </c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6"/>
      <c r="R362" s="40"/>
      <c r="S362" s="47">
        <f t="shared" si="83"/>
        <v>20000</v>
      </c>
      <c r="T362" s="65"/>
      <c r="U362" s="4">
        <f t="shared" si="80"/>
        <v>0</v>
      </c>
      <c r="V362" s="5"/>
      <c r="W362" s="5"/>
    </row>
    <row r="363" spans="1:23" ht="15.75" customHeight="1">
      <c r="A363" s="33"/>
      <c r="B363" s="41"/>
      <c r="C363" s="58" t="s">
        <v>288</v>
      </c>
      <c r="D363" s="42"/>
      <c r="E363" s="43">
        <v>20000</v>
      </c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6"/>
      <c r="R363" s="40"/>
      <c r="S363" s="47">
        <f t="shared" si="83"/>
        <v>20000</v>
      </c>
      <c r="T363" s="65"/>
      <c r="U363" s="4">
        <f t="shared" si="80"/>
        <v>0</v>
      </c>
      <c r="V363" s="5"/>
      <c r="W363" s="5"/>
    </row>
    <row r="364" spans="1:23" ht="15.75" customHeight="1">
      <c r="A364" s="33"/>
      <c r="B364" s="41"/>
      <c r="C364" s="58" t="s">
        <v>289</v>
      </c>
      <c r="D364" s="42"/>
      <c r="E364" s="43">
        <v>20000</v>
      </c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6"/>
      <c r="R364" s="40"/>
      <c r="S364" s="47">
        <f t="shared" si="83"/>
        <v>20000</v>
      </c>
      <c r="T364" s="65"/>
      <c r="U364" s="4">
        <f t="shared" si="80"/>
        <v>0</v>
      </c>
      <c r="V364" s="5"/>
      <c r="W364" s="5"/>
    </row>
    <row r="365" spans="1:23" ht="15.75" customHeight="1">
      <c r="A365" s="33"/>
      <c r="B365" s="41"/>
      <c r="C365" s="59" t="s">
        <v>290</v>
      </c>
      <c r="D365" s="42"/>
      <c r="E365" s="43">
        <v>10000</v>
      </c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6"/>
      <c r="R365" s="40"/>
      <c r="S365" s="47">
        <f>10000-F365-G365-H365-I365-J365-K365-L365-M365-N365-O365-P365-Q365</f>
        <v>10000</v>
      </c>
      <c r="T365" s="65"/>
      <c r="U365" s="4">
        <f t="shared" si="80"/>
        <v>0</v>
      </c>
      <c r="V365" s="5"/>
      <c r="W365" s="5"/>
    </row>
    <row r="366" spans="1:23" ht="15.75" customHeight="1">
      <c r="A366" s="67"/>
      <c r="B366" s="41"/>
      <c r="C366" s="58" t="s">
        <v>291</v>
      </c>
      <c r="D366" s="42"/>
      <c r="E366" s="43">
        <v>20000</v>
      </c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6"/>
      <c r="R366" s="40"/>
      <c r="S366" s="47">
        <f>20000-F366-G366-H366-I366-J366-K366-L366-M366-N366-O366-P366-Q366</f>
        <v>20000</v>
      </c>
      <c r="T366" s="65"/>
      <c r="U366" s="4">
        <f t="shared" si="80"/>
        <v>0</v>
      </c>
      <c r="V366" s="5"/>
      <c r="W366" s="5"/>
    </row>
    <row r="367" spans="1:23" ht="15.75" customHeight="1">
      <c r="A367" s="33"/>
      <c r="B367" s="49" t="s">
        <v>81</v>
      </c>
      <c r="C367" s="41"/>
      <c r="D367" s="92">
        <v>30000</v>
      </c>
      <c r="E367" s="43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6"/>
      <c r="R367" s="40"/>
      <c r="S367" s="47"/>
      <c r="T367" s="65"/>
      <c r="U367" s="4">
        <f t="shared" si="80"/>
        <v>0</v>
      </c>
      <c r="V367" s="5"/>
      <c r="W367" s="5"/>
    </row>
    <row r="368" spans="1:23" ht="15.75" customHeight="1">
      <c r="A368" s="33"/>
      <c r="B368" s="40" t="s">
        <v>292</v>
      </c>
      <c r="C368" s="41"/>
      <c r="D368" s="42"/>
      <c r="E368" s="218">
        <f>10000-10000</f>
        <v>0</v>
      </c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6"/>
      <c r="R368" s="40"/>
      <c r="S368" s="47">
        <f t="shared" ref="S368:S369" si="84">E368-F368-G368-H368-I368-J368-K368-L368-M368-N368-O368-P368-Q368</f>
        <v>0</v>
      </c>
      <c r="T368" s="65"/>
      <c r="U368" s="4">
        <f t="shared" si="80"/>
        <v>0</v>
      </c>
      <c r="V368" s="5"/>
      <c r="W368" s="5"/>
    </row>
    <row r="369" spans="1:23" ht="15.75" customHeight="1">
      <c r="A369" s="33"/>
      <c r="B369" s="282" t="s">
        <v>293</v>
      </c>
      <c r="C369" s="283"/>
      <c r="D369" s="284"/>
      <c r="E369" s="104">
        <v>10000</v>
      </c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6"/>
      <c r="R369" s="141"/>
      <c r="S369" s="47">
        <f t="shared" si="84"/>
        <v>10000</v>
      </c>
      <c r="T369" s="65"/>
      <c r="U369" s="4">
        <f t="shared" si="80"/>
        <v>0</v>
      </c>
      <c r="V369" s="5"/>
      <c r="W369" s="5"/>
    </row>
    <row r="370" spans="1:23" ht="15.75" customHeight="1">
      <c r="A370" s="161"/>
      <c r="B370" s="285" t="s">
        <v>294</v>
      </c>
      <c r="C370" s="286"/>
      <c r="D370" s="164"/>
      <c r="E370" s="287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6"/>
      <c r="R370" s="261"/>
      <c r="S370" s="288"/>
      <c r="T370" s="65"/>
      <c r="U370" s="4"/>
      <c r="V370" s="5"/>
      <c r="W370" s="5"/>
    </row>
    <row r="371" spans="1:23" ht="15.75" customHeight="1">
      <c r="A371" s="161"/>
      <c r="B371" s="262" t="s">
        <v>269</v>
      </c>
      <c r="C371" s="289" t="s">
        <v>295</v>
      </c>
      <c r="D371" s="164"/>
      <c r="E371" s="290">
        <v>28000</v>
      </c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6"/>
      <c r="R371" s="261"/>
      <c r="S371" s="291">
        <f>28000-F371-G371-H371-I371-J371-K371-L371-M371-N371-O371-P371-Q371</f>
        <v>28000</v>
      </c>
      <c r="T371" s="65"/>
      <c r="U371" s="4"/>
      <c r="V371" s="5"/>
      <c r="W371" s="5"/>
    </row>
    <row r="372" spans="1:23" ht="15.75" customHeight="1">
      <c r="A372" s="137" t="s">
        <v>296</v>
      </c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9"/>
      <c r="T372" s="65"/>
      <c r="U372" s="4">
        <f t="shared" ref="U372:U380" si="85">SUM(F372:Q372)</f>
        <v>0</v>
      </c>
      <c r="V372" s="5"/>
      <c r="W372" s="5"/>
    </row>
    <row r="373" spans="1:23" ht="15.75" customHeight="1">
      <c r="A373" s="137" t="s">
        <v>297</v>
      </c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9"/>
      <c r="T373" s="65"/>
      <c r="U373" s="4">
        <f t="shared" si="85"/>
        <v>0</v>
      </c>
      <c r="V373" s="5"/>
      <c r="W373" s="5"/>
    </row>
    <row r="374" spans="1:23" ht="15.75" customHeight="1" thickBot="1">
      <c r="A374" s="274" t="s">
        <v>298</v>
      </c>
      <c r="B374" s="275"/>
      <c r="C374" s="275"/>
      <c r="D374" s="275"/>
      <c r="E374" s="275"/>
      <c r="F374" s="275"/>
      <c r="G374" s="275"/>
      <c r="H374" s="275"/>
      <c r="I374" s="275"/>
      <c r="J374" s="275"/>
      <c r="K374" s="275"/>
      <c r="L374" s="275"/>
      <c r="M374" s="275"/>
      <c r="N374" s="275"/>
      <c r="O374" s="275"/>
      <c r="P374" s="275"/>
      <c r="Q374" s="275"/>
      <c r="R374" s="275"/>
      <c r="S374" s="276"/>
      <c r="T374" s="4"/>
      <c r="U374" s="4">
        <f t="shared" si="85"/>
        <v>0</v>
      </c>
      <c r="V374" s="5"/>
      <c r="W374" s="5"/>
    </row>
    <row r="375" spans="1:23" ht="19.5" customHeight="1" thickTop="1" thickBot="1">
      <c r="A375" s="124" t="s">
        <v>133</v>
      </c>
      <c r="B375" s="125"/>
      <c r="C375" s="125"/>
      <c r="D375" s="126"/>
      <c r="E375" s="127">
        <f>SUM(E349:E371)</f>
        <v>285000</v>
      </c>
      <c r="F375" s="128">
        <f t="shared" ref="F375:R375" si="86">SUM(F354:F369,F349,F350,F351,F352)</f>
        <v>0</v>
      </c>
      <c r="G375" s="128">
        <f t="shared" si="86"/>
        <v>0</v>
      </c>
      <c r="H375" s="128">
        <f t="shared" si="86"/>
        <v>0</v>
      </c>
      <c r="I375" s="128">
        <f t="shared" si="86"/>
        <v>0</v>
      </c>
      <c r="J375" s="128">
        <f t="shared" si="86"/>
        <v>0</v>
      </c>
      <c r="K375" s="128">
        <f t="shared" si="86"/>
        <v>0</v>
      </c>
      <c r="L375" s="128">
        <f t="shared" si="86"/>
        <v>0</v>
      </c>
      <c r="M375" s="128">
        <f t="shared" si="86"/>
        <v>0</v>
      </c>
      <c r="N375" s="128">
        <f t="shared" si="86"/>
        <v>13285</v>
      </c>
      <c r="O375" s="128">
        <f t="shared" si="86"/>
        <v>0</v>
      </c>
      <c r="P375" s="128">
        <f t="shared" si="86"/>
        <v>0</v>
      </c>
      <c r="Q375" s="128">
        <f t="shared" si="86"/>
        <v>0</v>
      </c>
      <c r="R375" s="128">
        <f t="shared" si="86"/>
        <v>0</v>
      </c>
      <c r="S375" s="130">
        <f>SUM(S354:S369,S349,S350,S351,S352,S371)</f>
        <v>271715</v>
      </c>
      <c r="T375" s="265">
        <f>SUM(F375:S375)</f>
        <v>285000</v>
      </c>
      <c r="U375" s="4">
        <f t="shared" si="85"/>
        <v>13285</v>
      </c>
      <c r="V375" s="5"/>
      <c r="W375" s="5"/>
    </row>
    <row r="376" spans="1:23" ht="27.75" customHeight="1" thickTop="1">
      <c r="A376" s="132"/>
      <c r="B376" s="132"/>
      <c r="C376" s="132"/>
      <c r="D376" s="132"/>
      <c r="E376" s="133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3"/>
      <c r="R376" s="132"/>
      <c r="S376" s="132"/>
      <c r="T376" s="65"/>
      <c r="U376" s="4">
        <f t="shared" si="85"/>
        <v>0</v>
      </c>
      <c r="V376" s="5"/>
      <c r="W376" s="5"/>
    </row>
    <row r="377" spans="1:23" ht="24.75" customHeight="1">
      <c r="A377" s="15" t="s">
        <v>299</v>
      </c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292"/>
      <c r="U377" s="4">
        <f t="shared" si="85"/>
        <v>0</v>
      </c>
      <c r="V377" s="5"/>
      <c r="W377" s="5"/>
    </row>
    <row r="378" spans="1:23" ht="15.75" customHeight="1">
      <c r="A378" s="17"/>
      <c r="B378" s="18"/>
      <c r="C378" s="18"/>
      <c r="D378" s="19"/>
      <c r="E378" s="20" t="s">
        <v>2</v>
      </c>
      <c r="F378" s="21" t="s">
        <v>3</v>
      </c>
      <c r="G378" s="21" t="s">
        <v>4</v>
      </c>
      <c r="H378" s="21" t="s">
        <v>5</v>
      </c>
      <c r="I378" s="21" t="s">
        <v>6</v>
      </c>
      <c r="J378" s="21" t="s">
        <v>7</v>
      </c>
      <c r="K378" s="21" t="s">
        <v>8</v>
      </c>
      <c r="L378" s="21" t="s">
        <v>9</v>
      </c>
      <c r="M378" s="21" t="s">
        <v>10</v>
      </c>
      <c r="N378" s="22" t="s">
        <v>11</v>
      </c>
      <c r="O378" s="21" t="s">
        <v>12</v>
      </c>
      <c r="P378" s="23" t="s">
        <v>13</v>
      </c>
      <c r="Q378" s="23" t="s">
        <v>14</v>
      </c>
      <c r="R378" s="293"/>
      <c r="S378" s="136" t="s">
        <v>15</v>
      </c>
      <c r="T378" s="4"/>
      <c r="U378" s="4">
        <f t="shared" si="85"/>
        <v>0</v>
      </c>
      <c r="V378" s="5"/>
      <c r="W378" s="5"/>
    </row>
    <row r="379" spans="1:23" ht="15.75" customHeight="1">
      <c r="A379" s="294" t="s">
        <v>300</v>
      </c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9"/>
      <c r="T379" s="4"/>
      <c r="U379" s="4">
        <f t="shared" si="85"/>
        <v>0</v>
      </c>
      <c r="V379" s="5"/>
      <c r="W379" s="5"/>
    </row>
    <row r="380" spans="1:23" ht="15.75" customHeight="1">
      <c r="A380" s="138"/>
      <c r="B380" s="138" t="s">
        <v>301</v>
      </c>
      <c r="C380" s="155"/>
      <c r="D380" s="35"/>
      <c r="E380" s="156">
        <v>350000</v>
      </c>
      <c r="F380" s="295">
        <f>15355</f>
        <v>15355</v>
      </c>
      <c r="G380" s="295">
        <f>15481+1338.49</f>
        <v>16819.490000000002</v>
      </c>
      <c r="H380" s="296">
        <v>14691</v>
      </c>
      <c r="I380" s="296">
        <v>19876</v>
      </c>
      <c r="J380" s="296">
        <v>19810</v>
      </c>
      <c r="K380" s="296">
        <v>19810</v>
      </c>
      <c r="L380" s="296">
        <v>15844</v>
      </c>
      <c r="M380" s="296">
        <v>15561</v>
      </c>
      <c r="N380" s="296">
        <v>15561</v>
      </c>
      <c r="O380" s="296"/>
      <c r="P380" s="296"/>
      <c r="Q380" s="297"/>
      <c r="R380" s="295"/>
      <c r="S380" s="209">
        <f>E380-F380-G380-H380-I380-J380-K380-L380-M380-N380-O380-P380-Q380</f>
        <v>196672.51</v>
      </c>
      <c r="T380" s="292"/>
      <c r="U380" s="4">
        <f t="shared" si="85"/>
        <v>153327.49</v>
      </c>
      <c r="V380" s="5"/>
      <c r="W380" s="5"/>
    </row>
    <row r="381" spans="1:23" ht="15.75" customHeight="1">
      <c r="A381" s="37"/>
      <c r="B381" s="298">
        <v>1.2</v>
      </c>
      <c r="C381" s="74" t="s">
        <v>302</v>
      </c>
      <c r="D381" s="123"/>
      <c r="E381" s="36">
        <v>10000</v>
      </c>
      <c r="F381" s="190"/>
      <c r="G381" s="190"/>
      <c r="H381" s="190"/>
      <c r="I381" s="191"/>
      <c r="J381" s="191">
        <v>8600</v>
      </c>
      <c r="K381" s="190"/>
      <c r="L381" s="190"/>
      <c r="M381" s="190"/>
      <c r="N381" s="190"/>
      <c r="O381" s="190"/>
      <c r="P381" s="190"/>
      <c r="Q381" s="192"/>
      <c r="R381" s="190"/>
      <c r="S381" s="234">
        <f>10000-F381-G381-H381-I381-J381-K381-L381-M381-N381-O381-P381-Q381</f>
        <v>1400</v>
      </c>
      <c r="T381" s="292"/>
      <c r="U381" s="4"/>
      <c r="V381" s="281"/>
      <c r="W381" s="281"/>
    </row>
    <row r="382" spans="1:23" ht="15.75" customHeight="1">
      <c r="A382" s="37"/>
      <c r="B382" s="44" t="s">
        <v>303</v>
      </c>
      <c r="C382" s="41"/>
      <c r="D382" s="42"/>
      <c r="E382" s="43">
        <v>190000</v>
      </c>
      <c r="F382" s="40"/>
      <c r="G382" s="40"/>
      <c r="H382" s="44">
        <v>190000</v>
      </c>
      <c r="I382" s="40"/>
      <c r="J382" s="40"/>
      <c r="K382" s="40"/>
      <c r="L382" s="44" t="s">
        <v>304</v>
      </c>
      <c r="M382" s="40"/>
      <c r="N382" s="40"/>
      <c r="O382" s="40"/>
      <c r="P382" s="40"/>
      <c r="Q382" s="46"/>
      <c r="R382" s="40"/>
      <c r="S382" s="61">
        <f>E382-H382</f>
        <v>0</v>
      </c>
      <c r="T382" s="292"/>
      <c r="U382" s="4">
        <f t="shared" ref="U382:U410" si="87">SUM(F382:Q382)</f>
        <v>190000</v>
      </c>
      <c r="V382" s="281"/>
      <c r="W382" s="281"/>
    </row>
    <row r="383" spans="1:23" ht="15.75" customHeight="1">
      <c r="A383" s="37"/>
      <c r="B383" s="44" t="s">
        <v>305</v>
      </c>
      <c r="C383" s="41"/>
      <c r="D383" s="42"/>
      <c r="E383" s="43">
        <v>100000</v>
      </c>
      <c r="F383" s="40"/>
      <c r="G383" s="40"/>
      <c r="H383" s="40"/>
      <c r="I383" s="44">
        <v>100000</v>
      </c>
      <c r="J383" s="40"/>
      <c r="K383" s="40"/>
      <c r="L383" s="40"/>
      <c r="M383" s="40"/>
      <c r="N383" s="40"/>
      <c r="O383" s="68"/>
      <c r="P383" s="40"/>
      <c r="Q383" s="46"/>
      <c r="R383" s="40"/>
      <c r="S383" s="61">
        <f>E383-F383-G383-H383-I383-J383-K383-L383-M383-N383-O383-P383-Q383</f>
        <v>0</v>
      </c>
      <c r="T383" s="292"/>
      <c r="U383" s="4">
        <f t="shared" si="87"/>
        <v>100000</v>
      </c>
      <c r="V383" s="281"/>
      <c r="W383" s="281"/>
    </row>
    <row r="384" spans="1:23" ht="15.75" customHeight="1">
      <c r="A384" s="141"/>
      <c r="B384" s="144" t="s">
        <v>306</v>
      </c>
      <c r="C384" s="142"/>
      <c r="D384" s="50"/>
      <c r="E384" s="143">
        <v>50000</v>
      </c>
      <c r="F384" s="68"/>
      <c r="G384" s="68"/>
      <c r="H384" s="68"/>
      <c r="I384" s="68"/>
      <c r="J384" s="68"/>
      <c r="K384" s="68"/>
      <c r="L384" s="68"/>
      <c r="M384" s="68"/>
      <c r="N384" s="68"/>
      <c r="O384" s="299"/>
      <c r="P384" s="68"/>
      <c r="Q384" s="71"/>
      <c r="R384" s="68"/>
      <c r="S384" s="90">
        <f>50000-F384-G384-H384-I384-J384-K384-L384-M384-N384-O383-P384-Q384</f>
        <v>50000</v>
      </c>
      <c r="T384" s="4"/>
      <c r="U384" s="4">
        <f t="shared" si="87"/>
        <v>0</v>
      </c>
      <c r="V384" s="281"/>
      <c r="W384" s="281"/>
    </row>
    <row r="385" spans="1:23" ht="15.75" customHeight="1">
      <c r="A385" s="169" t="s">
        <v>307</v>
      </c>
      <c r="B385" s="169">
        <v>1.6</v>
      </c>
      <c r="C385" s="300" t="s">
        <v>308</v>
      </c>
      <c r="D385" s="301"/>
      <c r="E385" s="117">
        <v>550263</v>
      </c>
      <c r="F385" s="265"/>
      <c r="G385" s="265"/>
      <c r="H385" s="116">
        <v>15000</v>
      </c>
      <c r="I385" s="265">
        <f>38000</f>
        <v>38000</v>
      </c>
      <c r="J385" s="265"/>
      <c r="K385" s="265"/>
      <c r="L385" s="116">
        <f>12252+56000+2160</f>
        <v>70412</v>
      </c>
      <c r="M385" s="265"/>
      <c r="N385" s="116">
        <v>20149</v>
      </c>
      <c r="O385" s="116"/>
      <c r="P385" s="265"/>
      <c r="Q385" s="302"/>
      <c r="R385" s="265"/>
      <c r="S385" s="115">
        <f>550263-F385-G385-H385-I385-J385-K385-L385-M385-N385-O385-P385-Q385</f>
        <v>406702</v>
      </c>
      <c r="T385" s="4"/>
      <c r="U385" s="4">
        <f t="shared" si="87"/>
        <v>143561</v>
      </c>
      <c r="V385" s="303"/>
      <c r="W385" s="303"/>
    </row>
    <row r="386" spans="1:23" ht="15.75" customHeight="1">
      <c r="A386" s="300" t="s">
        <v>309</v>
      </c>
      <c r="B386" s="304"/>
      <c r="C386" s="304"/>
      <c r="D386" s="304"/>
      <c r="E386" s="305"/>
      <c r="F386" s="306"/>
      <c r="G386" s="306"/>
      <c r="H386" s="306"/>
      <c r="I386" s="306"/>
      <c r="J386" s="306"/>
      <c r="K386" s="306"/>
      <c r="L386" s="306"/>
      <c r="M386" s="306"/>
      <c r="N386" s="306"/>
      <c r="O386" s="306"/>
      <c r="P386" s="306"/>
      <c r="Q386" s="305"/>
      <c r="R386" s="306"/>
      <c r="S386" s="307"/>
      <c r="T386" s="4"/>
      <c r="U386" s="4">
        <f t="shared" si="87"/>
        <v>0</v>
      </c>
      <c r="V386" s="5"/>
      <c r="W386" s="5"/>
    </row>
    <row r="387" spans="1:23" ht="15.75" customHeight="1">
      <c r="A387" s="154"/>
      <c r="B387" s="138" t="s">
        <v>310</v>
      </c>
      <c r="C387" s="155"/>
      <c r="D387" s="35"/>
      <c r="E387" s="156">
        <f>5500000+1200-30000-20000-45000-20000-20000-20000-90000-70000-100000-100000-10000-55000-36000-63000-110000-30000-70000-20000-30000-35000-63000-20000-50000+100000+140000+100000+50000+30000+40000+70000+30000+70000+60000+10000+105000+200000</f>
        <v>5399200</v>
      </c>
      <c r="F387" s="296">
        <f>449900</f>
        <v>449900</v>
      </c>
      <c r="G387" s="296">
        <v>449900</v>
      </c>
      <c r="H387" s="296">
        <f>448700</f>
        <v>448700</v>
      </c>
      <c r="I387" s="296">
        <f>12100+396600</f>
        <v>408700</v>
      </c>
      <c r="J387" s="296">
        <f>441800+3200</f>
        <v>445000</v>
      </c>
      <c r="K387" s="296">
        <f>1800+445800</f>
        <v>447600</v>
      </c>
      <c r="L387" s="296">
        <f>1200+477600</f>
        <v>478800</v>
      </c>
      <c r="M387" s="296">
        <v>445000</v>
      </c>
      <c r="N387" s="296">
        <v>461800</v>
      </c>
      <c r="O387" s="296"/>
      <c r="P387" s="296"/>
      <c r="Q387" s="297"/>
      <c r="R387" s="295"/>
      <c r="S387" s="47">
        <f>E387-F387-G387-H387-I387-J387-K387-L387-M387-N387-O387-P387-Q387</f>
        <v>1363800</v>
      </c>
      <c r="T387" s="4"/>
      <c r="U387" s="4">
        <f t="shared" si="87"/>
        <v>4035400</v>
      </c>
      <c r="V387" s="5"/>
      <c r="W387" s="5"/>
    </row>
    <row r="388" spans="1:23" ht="15.75" customHeight="1">
      <c r="A388" s="37"/>
      <c r="B388" s="40" t="s">
        <v>311</v>
      </c>
      <c r="C388" s="41"/>
      <c r="D388" s="57"/>
      <c r="E388" s="43">
        <v>1400000</v>
      </c>
      <c r="F388" s="44">
        <f>124000</f>
        <v>124000</v>
      </c>
      <c r="G388" s="40">
        <f>124800</f>
        <v>124800</v>
      </c>
      <c r="H388" s="44">
        <v>125600</v>
      </c>
      <c r="I388" s="44">
        <f>8000+113600</f>
        <v>121600</v>
      </c>
      <c r="J388" s="44">
        <f>3200+120800</f>
        <v>124000</v>
      </c>
      <c r="K388" s="44">
        <f>125600+4500</f>
        <v>130100</v>
      </c>
      <c r="L388" s="44">
        <v>128800</v>
      </c>
      <c r="M388" s="44">
        <v>132000</v>
      </c>
      <c r="N388" s="44">
        <v>136000</v>
      </c>
      <c r="O388" s="44"/>
      <c r="P388" s="44"/>
      <c r="Q388" s="46"/>
      <c r="R388" s="40"/>
      <c r="S388" s="47">
        <f>1400000-F388-G388-H388-I388-J388-K388-L388-M388-N388-O388-P388-Q388</f>
        <v>253100</v>
      </c>
      <c r="T388" s="4"/>
      <c r="U388" s="4">
        <f t="shared" si="87"/>
        <v>1146900</v>
      </c>
      <c r="V388" s="303"/>
      <c r="W388" s="303"/>
    </row>
    <row r="389" spans="1:23" ht="15.75" customHeight="1" thickBot="1">
      <c r="A389" s="37"/>
      <c r="B389" s="37" t="s">
        <v>312</v>
      </c>
      <c r="C389" s="33"/>
      <c r="D389" s="123"/>
      <c r="E389" s="36">
        <v>55000</v>
      </c>
      <c r="F389" s="51">
        <f>5000</f>
        <v>5000</v>
      </c>
      <c r="G389" s="37">
        <f>4500</f>
        <v>4500</v>
      </c>
      <c r="H389" s="51">
        <v>4500</v>
      </c>
      <c r="I389" s="51">
        <v>4500</v>
      </c>
      <c r="J389" s="51">
        <v>4500</v>
      </c>
      <c r="K389" s="51">
        <v>4500</v>
      </c>
      <c r="L389" s="51">
        <v>4500</v>
      </c>
      <c r="M389" s="51">
        <v>4500</v>
      </c>
      <c r="N389" s="51">
        <v>4500</v>
      </c>
      <c r="O389" s="51"/>
      <c r="P389" s="51"/>
      <c r="Q389" s="38"/>
      <c r="R389" s="37"/>
      <c r="S389" s="39">
        <f>55000-F389-G389-H389-I389-J389-K389-L389-M389-N389-O389-P389-Q389</f>
        <v>14000</v>
      </c>
      <c r="T389" s="4"/>
      <c r="U389" s="4">
        <f t="shared" si="87"/>
        <v>41000</v>
      </c>
      <c r="V389" s="303"/>
      <c r="W389" s="303"/>
    </row>
    <row r="390" spans="1:23" ht="18.75" customHeight="1" thickTop="1" thickBot="1">
      <c r="A390" s="308" t="s">
        <v>133</v>
      </c>
      <c r="B390" s="125"/>
      <c r="C390" s="125"/>
      <c r="D390" s="126"/>
      <c r="E390" s="127">
        <f>SUM(E380:E389)</f>
        <v>8104463</v>
      </c>
      <c r="F390" s="309">
        <f t="shared" ref="F390:H390" si="88">F380+F382+F383+F384+F385+F387+F388+F389</f>
        <v>594255</v>
      </c>
      <c r="G390" s="309">
        <f t="shared" si="88"/>
        <v>596019.49</v>
      </c>
      <c r="H390" s="309">
        <f t="shared" si="88"/>
        <v>798491</v>
      </c>
      <c r="I390" s="309">
        <f>SUM(I380:I389)</f>
        <v>692676</v>
      </c>
      <c r="J390" s="309">
        <f>J380+J381+J382+J383+J384+J385+J387+J388+J389</f>
        <v>601910</v>
      </c>
      <c r="K390" s="309">
        <f>K380+K382+K383+K384+K385+K387+K388+K389</f>
        <v>602010</v>
      </c>
      <c r="L390" s="309">
        <f>SUM(L380:L389)</f>
        <v>698356</v>
      </c>
      <c r="M390" s="309">
        <f t="shared" ref="M390:R390" si="89">M380+M382+M383+M384+M385+M387+M388+M389</f>
        <v>597061</v>
      </c>
      <c r="N390" s="309">
        <f t="shared" si="89"/>
        <v>638010</v>
      </c>
      <c r="O390" s="309">
        <f t="shared" si="89"/>
        <v>0</v>
      </c>
      <c r="P390" s="309">
        <f t="shared" si="89"/>
        <v>0</v>
      </c>
      <c r="Q390" s="309">
        <f t="shared" si="89"/>
        <v>0</v>
      </c>
      <c r="R390" s="309">
        <f t="shared" si="89"/>
        <v>0</v>
      </c>
      <c r="S390" s="130">
        <f>SUM(S380:S389)</f>
        <v>2285674.5099999998</v>
      </c>
      <c r="T390" s="131">
        <f>F390+G390+H390+I390+J390+K390+L390+M390+N390+O390+P390+Q390+S390</f>
        <v>8104463</v>
      </c>
      <c r="U390" s="4">
        <f t="shared" si="87"/>
        <v>5818788.4900000002</v>
      </c>
      <c r="V390" s="303"/>
      <c r="W390" s="303"/>
    </row>
    <row r="391" spans="1:23" ht="18.75" customHeight="1" thickTop="1">
      <c r="A391" s="310"/>
      <c r="B391" s="310"/>
      <c r="C391" s="310"/>
      <c r="D391" s="310"/>
      <c r="E391" s="311"/>
      <c r="F391" s="310"/>
      <c r="G391" s="310"/>
      <c r="H391" s="310"/>
      <c r="I391" s="310"/>
      <c r="J391" s="310"/>
      <c r="K391" s="310"/>
      <c r="L391" s="310"/>
      <c r="M391" s="310"/>
      <c r="N391" s="310"/>
      <c r="O391" s="310"/>
      <c r="P391" s="310"/>
      <c r="Q391" s="310"/>
      <c r="R391" s="310"/>
      <c r="S391" s="310"/>
      <c r="T391" s="4"/>
      <c r="U391" s="4">
        <f t="shared" si="87"/>
        <v>0</v>
      </c>
      <c r="V391" s="5"/>
      <c r="W391" s="5"/>
    </row>
    <row r="392" spans="1:23" ht="19.5" customHeight="1">
      <c r="A392" s="312" t="s">
        <v>313</v>
      </c>
      <c r="B392" s="313"/>
      <c r="C392" s="313"/>
      <c r="D392" s="313"/>
      <c r="E392" s="313"/>
      <c r="F392" s="313"/>
      <c r="G392" s="313"/>
      <c r="H392" s="313"/>
      <c r="I392" s="313"/>
      <c r="J392" s="313"/>
      <c r="K392" s="313"/>
      <c r="L392" s="313"/>
      <c r="M392" s="313"/>
      <c r="N392" s="313"/>
      <c r="O392" s="313"/>
      <c r="P392" s="313"/>
      <c r="Q392" s="313"/>
      <c r="R392" s="313"/>
      <c r="S392" s="313"/>
      <c r="T392" s="4"/>
      <c r="U392" s="4">
        <f t="shared" si="87"/>
        <v>0</v>
      </c>
      <c r="V392" s="5"/>
      <c r="W392" s="5"/>
    </row>
    <row r="393" spans="1:23" ht="19.5" customHeight="1">
      <c r="A393" s="314"/>
      <c r="B393" s="183"/>
      <c r="C393" s="315" t="s">
        <v>314</v>
      </c>
      <c r="D393" s="316"/>
      <c r="E393" s="156">
        <f>7438.78+7366.25+3299.04+11951.76+2768.74+8149.75+8626.6+7522.54+409.34+94823.59</f>
        <v>152356.38999999998</v>
      </c>
      <c r="F393" s="138">
        <f>7432.97</f>
        <v>7432.97</v>
      </c>
      <c r="G393" s="138">
        <f>7366.25</f>
        <v>7366.25</v>
      </c>
      <c r="H393" s="157">
        <v>3299.04</v>
      </c>
      <c r="I393" s="157">
        <v>11951.76</v>
      </c>
      <c r="J393" s="157">
        <v>2768.74</v>
      </c>
      <c r="K393" s="157">
        <v>8149.75</v>
      </c>
      <c r="L393" s="157">
        <v>8626.6</v>
      </c>
      <c r="M393" s="138">
        <f>7522.54</f>
        <v>7522.54</v>
      </c>
      <c r="N393" s="157">
        <v>95232.93</v>
      </c>
      <c r="O393" s="157"/>
      <c r="P393" s="157"/>
      <c r="Q393" s="139"/>
      <c r="R393" s="65"/>
      <c r="S393" s="140">
        <f t="shared" ref="S393:S402" si="90">E393-F393-G393-H393-I393-J393-K393-L393-M393-N393-O393-P393-Q393</f>
        <v>5.8099999999831198</v>
      </c>
      <c r="T393" s="4"/>
      <c r="U393" s="4">
        <f t="shared" si="87"/>
        <v>152350.57999999999</v>
      </c>
      <c r="V393" s="5"/>
      <c r="W393" s="5"/>
    </row>
    <row r="394" spans="1:23" ht="19.5" customHeight="1">
      <c r="A394" s="314"/>
      <c r="B394" s="183"/>
      <c r="C394" s="317" t="s">
        <v>315</v>
      </c>
      <c r="D394" s="83"/>
      <c r="E394" s="43">
        <f>275750+9950+9950+46375+15000+15000</f>
        <v>372025</v>
      </c>
      <c r="F394" s="40"/>
      <c r="G394" s="40"/>
      <c r="H394" s="40"/>
      <c r="I394" s="40"/>
      <c r="J394" s="44">
        <v>39500</v>
      </c>
      <c r="K394" s="40"/>
      <c r="L394" s="44">
        <f>20000+98000</f>
        <v>118000</v>
      </c>
      <c r="M394" s="40"/>
      <c r="N394" s="40"/>
      <c r="O394" s="44"/>
      <c r="P394" s="40"/>
      <c r="Q394" s="46"/>
      <c r="R394" s="65"/>
      <c r="S394" s="90">
        <f t="shared" si="90"/>
        <v>214525</v>
      </c>
      <c r="T394" s="4"/>
      <c r="U394" s="4">
        <f t="shared" si="87"/>
        <v>157500</v>
      </c>
      <c r="V394" s="5"/>
      <c r="W394" s="5"/>
    </row>
    <row r="395" spans="1:23" ht="19.5" customHeight="1">
      <c r="A395" s="314"/>
      <c r="B395" s="183"/>
      <c r="C395" s="317" t="s">
        <v>316</v>
      </c>
      <c r="D395" s="83"/>
      <c r="E395" s="43">
        <v>26376.2</v>
      </c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6"/>
      <c r="R395" s="65"/>
      <c r="S395" s="47">
        <f t="shared" si="90"/>
        <v>26376.2</v>
      </c>
      <c r="T395" s="4"/>
      <c r="U395" s="4">
        <f t="shared" si="87"/>
        <v>0</v>
      </c>
      <c r="V395" s="5"/>
      <c r="W395" s="5"/>
    </row>
    <row r="396" spans="1:23" ht="19.5" customHeight="1">
      <c r="A396" s="314"/>
      <c r="B396" s="183"/>
      <c r="C396" s="317" t="s">
        <v>317</v>
      </c>
      <c r="D396" s="83"/>
      <c r="E396" s="43">
        <v>16020.52</v>
      </c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6"/>
      <c r="R396" s="65"/>
      <c r="S396" s="47">
        <f t="shared" si="90"/>
        <v>16020.52</v>
      </c>
      <c r="T396" s="4"/>
      <c r="U396" s="4">
        <f t="shared" si="87"/>
        <v>0</v>
      </c>
      <c r="V396" s="5"/>
      <c r="W396" s="5"/>
    </row>
    <row r="397" spans="1:23" ht="19.5" customHeight="1">
      <c r="A397" s="314"/>
      <c r="B397" s="183"/>
      <c r="C397" s="317" t="s">
        <v>318</v>
      </c>
      <c r="D397" s="83"/>
      <c r="E397" s="43">
        <v>190317.38</v>
      </c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6"/>
      <c r="R397" s="65"/>
      <c r="S397" s="47">
        <f t="shared" si="90"/>
        <v>190317.38</v>
      </c>
      <c r="T397" s="4"/>
      <c r="U397" s="4">
        <f t="shared" si="87"/>
        <v>0</v>
      </c>
      <c r="V397" s="5"/>
      <c r="W397" s="5"/>
    </row>
    <row r="398" spans="1:23" ht="19.5" customHeight="1">
      <c r="A398" s="314"/>
      <c r="B398" s="183"/>
      <c r="C398" s="317" t="s">
        <v>319</v>
      </c>
      <c r="D398" s="83"/>
      <c r="E398" s="43">
        <f>21553+15481+14691+19876+19810+19810+15844+3892+3766+126</f>
        <v>134849</v>
      </c>
      <c r="F398" s="40">
        <f>15355</f>
        <v>15355</v>
      </c>
      <c r="G398" s="44">
        <v>15481</v>
      </c>
      <c r="H398" s="44">
        <v>14691</v>
      </c>
      <c r="I398" s="44">
        <v>19876</v>
      </c>
      <c r="J398" s="44">
        <v>19810</v>
      </c>
      <c r="K398" s="44">
        <v>19810</v>
      </c>
      <c r="L398" s="44">
        <v>15844</v>
      </c>
      <c r="M398" s="44">
        <v>3892</v>
      </c>
      <c r="N398" s="44">
        <v>3892</v>
      </c>
      <c r="O398" s="44"/>
      <c r="P398" s="44"/>
      <c r="Q398" s="46"/>
      <c r="R398" s="65"/>
      <c r="S398" s="318">
        <f t="shared" si="90"/>
        <v>6198</v>
      </c>
      <c r="T398" s="4"/>
      <c r="U398" s="4">
        <f t="shared" si="87"/>
        <v>128651</v>
      </c>
      <c r="V398" s="5"/>
      <c r="W398" s="5"/>
    </row>
    <row r="399" spans="1:23" ht="19.5" customHeight="1">
      <c r="A399" s="314"/>
      <c r="B399" s="183"/>
      <c r="C399" s="317" t="s">
        <v>320</v>
      </c>
      <c r="D399" s="83"/>
      <c r="E399" s="43">
        <v>5260</v>
      </c>
      <c r="F399" s="40"/>
      <c r="G399" s="40"/>
      <c r="H399" s="40"/>
      <c r="I399" s="40"/>
      <c r="J399" s="40"/>
      <c r="K399" s="40"/>
      <c r="L399" s="44">
        <v>300</v>
      </c>
      <c r="M399" s="40"/>
      <c r="N399" s="44">
        <f>3083+330</f>
        <v>3413</v>
      </c>
      <c r="O399" s="44"/>
      <c r="P399" s="40"/>
      <c r="Q399" s="46"/>
      <c r="R399" s="65"/>
      <c r="S399" s="47">
        <f t="shared" si="90"/>
        <v>1547</v>
      </c>
      <c r="T399" s="4"/>
      <c r="U399" s="4">
        <f t="shared" si="87"/>
        <v>3713</v>
      </c>
      <c r="V399" s="5"/>
      <c r="W399" s="5"/>
    </row>
    <row r="400" spans="1:23" ht="19.5" customHeight="1">
      <c r="A400" s="314"/>
      <c r="B400" s="183"/>
      <c r="C400" s="317" t="s">
        <v>321</v>
      </c>
      <c r="D400" s="83"/>
      <c r="E400" s="43">
        <v>7728</v>
      </c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6"/>
      <c r="R400" s="65"/>
      <c r="S400" s="47">
        <f t="shared" si="90"/>
        <v>7728</v>
      </c>
      <c r="T400" s="4"/>
      <c r="U400" s="4">
        <f t="shared" si="87"/>
        <v>0</v>
      </c>
      <c r="V400" s="5"/>
      <c r="W400" s="5"/>
    </row>
    <row r="401" spans="1:23" ht="19.5" customHeight="1">
      <c r="A401" s="314"/>
      <c r="B401" s="183"/>
      <c r="C401" s="44" t="s">
        <v>322</v>
      </c>
      <c r="D401" s="83"/>
      <c r="E401" s="43">
        <v>3375</v>
      </c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6"/>
      <c r="R401" s="65"/>
      <c r="S401" s="47">
        <f t="shared" si="90"/>
        <v>3375</v>
      </c>
      <c r="T401" s="4"/>
      <c r="U401" s="4">
        <f t="shared" si="87"/>
        <v>0</v>
      </c>
      <c r="V401" s="5"/>
      <c r="W401" s="5"/>
    </row>
    <row r="402" spans="1:23" ht="19.5" customHeight="1" thickBot="1">
      <c r="A402" s="314"/>
      <c r="B402" s="183"/>
      <c r="C402" s="122" t="s">
        <v>323</v>
      </c>
      <c r="D402" s="83"/>
      <c r="E402" s="43">
        <v>1622.29</v>
      </c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6"/>
      <c r="R402" s="65"/>
      <c r="S402" s="47">
        <f t="shared" si="90"/>
        <v>1622.29</v>
      </c>
      <c r="T402" s="4"/>
      <c r="U402" s="4">
        <f t="shared" si="87"/>
        <v>0</v>
      </c>
      <c r="V402" s="5"/>
      <c r="W402" s="5"/>
    </row>
    <row r="403" spans="1:23" ht="19.5" customHeight="1" thickTop="1" thickBot="1">
      <c r="A403" s="314"/>
      <c r="B403" s="183"/>
      <c r="C403" s="319" t="s">
        <v>324</v>
      </c>
      <c r="D403" s="320"/>
      <c r="E403" s="69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71"/>
      <c r="R403" s="321"/>
      <c r="S403" s="47"/>
      <c r="T403" s="4"/>
      <c r="U403" s="4">
        <f t="shared" si="87"/>
        <v>0</v>
      </c>
      <c r="V403" s="5"/>
      <c r="W403" s="5"/>
    </row>
    <row r="404" spans="1:23" ht="19.5" customHeight="1" thickTop="1" thickBot="1">
      <c r="A404" s="314"/>
      <c r="B404" s="183"/>
      <c r="C404" s="319"/>
      <c r="D404" s="320"/>
      <c r="E404" s="322"/>
      <c r="F404" s="323"/>
      <c r="G404" s="323"/>
      <c r="H404" s="323"/>
      <c r="I404" s="323"/>
      <c r="J404" s="323"/>
      <c r="K404" s="323"/>
      <c r="L404" s="323"/>
      <c r="M404" s="323"/>
      <c r="N404" s="323"/>
      <c r="O404" s="323"/>
      <c r="P404" s="323"/>
      <c r="Q404" s="323"/>
      <c r="R404" s="321"/>
      <c r="S404" s="47"/>
      <c r="T404" s="235"/>
      <c r="U404" s="4">
        <f t="shared" si="87"/>
        <v>0</v>
      </c>
      <c r="V404" s="5"/>
      <c r="W404" s="5"/>
    </row>
    <row r="405" spans="1:23" ht="19.5" customHeight="1" thickTop="1" thickBot="1">
      <c r="A405" s="314"/>
      <c r="B405" s="183"/>
      <c r="C405" s="324" t="s">
        <v>133</v>
      </c>
      <c r="D405" s="325"/>
      <c r="E405" s="127">
        <f>SUM(E393:E404)</f>
        <v>909929.78</v>
      </c>
      <c r="F405" s="309">
        <f t="shared" ref="F405:Q405" si="91">F393+F394+F395+F396+F397+F398+F399+F400+F402+F403+F401+F404</f>
        <v>22787.97</v>
      </c>
      <c r="G405" s="309">
        <f t="shared" si="91"/>
        <v>22847.25</v>
      </c>
      <c r="H405" s="309">
        <f t="shared" si="91"/>
        <v>17990.04</v>
      </c>
      <c r="I405" s="309">
        <f t="shared" si="91"/>
        <v>31827.760000000002</v>
      </c>
      <c r="J405" s="309">
        <f t="shared" si="91"/>
        <v>62078.74</v>
      </c>
      <c r="K405" s="309">
        <f t="shared" si="91"/>
        <v>27959.75</v>
      </c>
      <c r="L405" s="309">
        <f t="shared" si="91"/>
        <v>142770.6</v>
      </c>
      <c r="M405" s="309">
        <f t="shared" si="91"/>
        <v>11414.54</v>
      </c>
      <c r="N405" s="309">
        <f t="shared" si="91"/>
        <v>102537.93</v>
      </c>
      <c r="O405" s="309">
        <f t="shared" si="91"/>
        <v>0</v>
      </c>
      <c r="P405" s="309">
        <f t="shared" si="91"/>
        <v>0</v>
      </c>
      <c r="Q405" s="309">
        <f t="shared" si="91"/>
        <v>0</v>
      </c>
      <c r="R405" s="309">
        <f>R393+R394+R395+R396+R397+R398+R399+R400+R402+R403+R401</f>
        <v>0</v>
      </c>
      <c r="S405" s="130">
        <f>S393+S394+S395+S396+S397+S398+S399+S400+S402+S403+S401+S404</f>
        <v>467715.2</v>
      </c>
      <c r="T405" s="131">
        <f>F405+G405+H405+I405+J405+K405+L405+M405+N405+O405+P405+Q405+S405</f>
        <v>909929.78</v>
      </c>
      <c r="U405" s="4">
        <f t="shared" si="87"/>
        <v>442214.57999999996</v>
      </c>
      <c r="V405" s="5"/>
      <c r="W405" s="5"/>
    </row>
    <row r="406" spans="1:23" ht="7.5" customHeight="1" thickTop="1">
      <c r="A406" s="65"/>
      <c r="B406" s="65"/>
      <c r="C406" s="65"/>
      <c r="D406" s="65"/>
      <c r="E406" s="326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183"/>
      <c r="R406" s="65"/>
      <c r="S406" s="327"/>
      <c r="T406" s="4"/>
      <c r="U406" s="4">
        <f t="shared" si="87"/>
        <v>0</v>
      </c>
      <c r="V406" s="5"/>
      <c r="W406" s="5"/>
    </row>
    <row r="407" spans="1:23" ht="21" customHeight="1">
      <c r="A407" s="328"/>
      <c r="B407" s="328"/>
      <c r="C407" s="329" t="s">
        <v>325</v>
      </c>
      <c r="D407" s="330"/>
      <c r="E407" s="156">
        <f>1960000+53900</f>
        <v>2013900</v>
      </c>
      <c r="F407" s="138"/>
      <c r="G407" s="138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15"/>
      <c r="T407" s="4"/>
      <c r="U407" s="4">
        <f t="shared" si="87"/>
        <v>0</v>
      </c>
      <c r="V407" s="5"/>
      <c r="W407" s="5"/>
    </row>
    <row r="408" spans="1:23" ht="21" customHeight="1">
      <c r="A408" s="328"/>
      <c r="B408" s="328"/>
      <c r="C408" s="329" t="s">
        <v>326</v>
      </c>
      <c r="D408" s="330"/>
      <c r="E408" s="156">
        <v>650000</v>
      </c>
      <c r="F408" s="138"/>
      <c r="G408" s="138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15"/>
      <c r="T408" s="4"/>
      <c r="U408" s="4">
        <f t="shared" si="87"/>
        <v>0</v>
      </c>
      <c r="V408" s="5"/>
      <c r="W408" s="5"/>
    </row>
    <row r="409" spans="1:23" ht="21" customHeight="1">
      <c r="A409" s="328"/>
      <c r="B409" s="328"/>
      <c r="C409" s="169" t="s">
        <v>327</v>
      </c>
      <c r="D409" s="169"/>
      <c r="E409" s="117">
        <v>3415031.6</v>
      </c>
      <c r="F409" s="265"/>
      <c r="G409" s="265"/>
      <c r="H409" s="265"/>
      <c r="I409" s="265"/>
      <c r="J409" s="265"/>
      <c r="K409" s="116">
        <v>21708</v>
      </c>
      <c r="L409" s="265"/>
      <c r="M409" s="265"/>
      <c r="N409" s="265"/>
      <c r="O409" s="265"/>
      <c r="P409" s="265"/>
      <c r="Q409" s="265"/>
      <c r="R409" s="265"/>
      <c r="S409" s="115"/>
      <c r="T409" s="4"/>
      <c r="U409" s="4">
        <f t="shared" si="87"/>
        <v>21708</v>
      </c>
      <c r="V409" s="5"/>
      <c r="W409" s="5"/>
    </row>
    <row r="410" spans="1:23" ht="21" customHeight="1">
      <c r="A410" s="328"/>
      <c r="B410" s="328"/>
      <c r="C410" s="328"/>
      <c r="D410" s="328"/>
      <c r="E410" s="183"/>
      <c r="F410" s="331">
        <f t="shared" ref="F410:G410" si="92">F122+F153+F211+F264+F343+F375+F390+F405</f>
        <v>2262536.0699999998</v>
      </c>
      <c r="G410" s="331">
        <f t="shared" si="92"/>
        <v>2237544.48</v>
      </c>
      <c r="H410" s="331">
        <f>H122+H153+H211+H264+H343+H375+H390+H405+H407-H408</f>
        <v>2652336.46</v>
      </c>
      <c r="I410" s="331">
        <f t="shared" ref="I410:J410" si="93">I122+I153+I211+I264+I343+I375+I390+I405+I407+I409</f>
        <v>2793451.92</v>
      </c>
      <c r="J410" s="331">
        <f t="shared" si="93"/>
        <v>3167236.93</v>
      </c>
      <c r="K410" s="331">
        <f>K122+K153+K211+K264+K343+K375+K390+K405+K407+K40+K408+K409</f>
        <v>2946231.46</v>
      </c>
      <c r="L410" s="331">
        <f t="shared" ref="L410:S410" si="94">L122+L153+L211+L264+L343+L375+L390+L405+L407+L409</f>
        <v>2793853.35</v>
      </c>
      <c r="M410" s="331">
        <f t="shared" si="94"/>
        <v>2298951.56</v>
      </c>
      <c r="N410" s="331">
        <f t="shared" si="94"/>
        <v>2788843.23</v>
      </c>
      <c r="O410" s="331">
        <f t="shared" si="94"/>
        <v>273130.13</v>
      </c>
      <c r="P410" s="331">
        <f t="shared" si="94"/>
        <v>0</v>
      </c>
      <c r="Q410" s="331">
        <f t="shared" si="94"/>
        <v>0</v>
      </c>
      <c r="R410" s="331">
        <f t="shared" si="94"/>
        <v>0</v>
      </c>
      <c r="S410" s="115">
        <f t="shared" si="94"/>
        <v>17451285.190000001</v>
      </c>
      <c r="T410" s="131">
        <f>F410+G410+H410+I410+J410+K410+L410+M410+N410+O410+P410+Q410+S410</f>
        <v>41665400.780000001</v>
      </c>
      <c r="U410" s="4">
        <f t="shared" si="87"/>
        <v>24214115.59</v>
      </c>
      <c r="V410" s="5"/>
      <c r="W410" s="5"/>
    </row>
    <row r="411" spans="1:23" ht="24" customHeight="1">
      <c r="A411" s="332"/>
      <c r="B411" s="292"/>
      <c r="C411" s="292"/>
      <c r="D411" s="292"/>
      <c r="E411" s="333">
        <f>SUM(E122,E153,E211,E264,E343,E375,E390)</f>
        <v>40733763</v>
      </c>
      <c r="F411" s="132"/>
      <c r="G411" s="334"/>
      <c r="H411" s="313"/>
      <c r="I411" s="292"/>
      <c r="J411" s="292"/>
      <c r="K411" s="292"/>
      <c r="L411" s="292"/>
      <c r="M411" s="292"/>
      <c r="N411" s="292"/>
      <c r="O411" s="292"/>
      <c r="P411" s="292"/>
      <c r="Q411" s="335"/>
      <c r="R411" s="292"/>
      <c r="S411" s="336">
        <f>T122+T153+T211+T264+T343+T375+T390</f>
        <v>40733763</v>
      </c>
      <c r="T411" s="4"/>
      <c r="U411" s="4"/>
      <c r="V411" s="5"/>
      <c r="W411" s="5"/>
    </row>
    <row r="412" spans="1:23" ht="21" customHeight="1">
      <c r="A412" s="303"/>
      <c r="B412" s="303"/>
      <c r="C412" s="303"/>
      <c r="D412" s="337"/>
      <c r="E412" s="338"/>
      <c r="F412" s="303"/>
      <c r="G412" s="303"/>
      <c r="H412" s="303"/>
      <c r="I412" s="303"/>
      <c r="J412" s="303"/>
      <c r="K412" s="303"/>
      <c r="L412" s="303"/>
      <c r="M412" s="339"/>
      <c r="N412" s="313"/>
      <c r="O412" s="303"/>
      <c r="P412" s="303"/>
      <c r="Q412" s="340" t="s">
        <v>328</v>
      </c>
      <c r="R412" s="303"/>
      <c r="S412" s="303"/>
      <c r="T412" s="5"/>
      <c r="U412" s="5"/>
      <c r="V412" s="5"/>
      <c r="W412" s="5"/>
    </row>
    <row r="413" spans="1:23" ht="19.5" customHeight="1">
      <c r="A413" s="281"/>
      <c r="B413" s="303"/>
      <c r="C413" s="281"/>
      <c r="D413" s="5"/>
      <c r="E413" s="341"/>
      <c r="F413" s="5"/>
      <c r="G413" s="339"/>
      <c r="H413" s="313"/>
      <c r="I413" s="303"/>
      <c r="J413" s="303"/>
      <c r="K413" s="303"/>
      <c r="L413" s="303"/>
      <c r="M413" s="303"/>
      <c r="N413" s="303"/>
      <c r="O413" s="303"/>
      <c r="P413" s="303"/>
      <c r="Q413" s="338"/>
      <c r="R413" s="303"/>
      <c r="S413" s="303"/>
      <c r="T413" s="5"/>
      <c r="U413" s="5"/>
      <c r="V413" s="5"/>
      <c r="W413" s="5"/>
    </row>
    <row r="414" spans="1:23" ht="19.5" customHeight="1" thickBot="1">
      <c r="A414" s="303"/>
      <c r="B414" s="303"/>
      <c r="C414" s="303"/>
      <c r="D414" s="303"/>
      <c r="E414" s="342" t="s">
        <v>329</v>
      </c>
      <c r="F414" s="343">
        <v>40702563</v>
      </c>
      <c r="G414" s="19"/>
      <c r="H414" s="344">
        <f>E411</f>
        <v>40733763</v>
      </c>
      <c r="I414" s="276"/>
      <c r="J414" s="345" t="s">
        <v>330</v>
      </c>
      <c r="K414" s="303"/>
      <c r="L414" s="303"/>
      <c r="M414" s="303"/>
      <c r="N414" s="303"/>
      <c r="O414" s="339"/>
      <c r="P414" s="313"/>
      <c r="Q414" s="303"/>
      <c r="R414" s="303"/>
      <c r="S414" s="303"/>
      <c r="T414" s="5"/>
      <c r="U414" s="5"/>
      <c r="V414" s="5"/>
      <c r="W414" s="5"/>
    </row>
    <row r="415" spans="1:23" ht="20.25" customHeight="1" thickTop="1">
      <c r="A415" s="303"/>
      <c r="B415" s="303"/>
      <c r="C415" s="303"/>
      <c r="D415" s="303"/>
      <c r="E415" s="346" t="s">
        <v>331</v>
      </c>
      <c r="F415" s="347">
        <f>F414-E411</f>
        <v>-31200</v>
      </c>
      <c r="G415" s="19"/>
      <c r="H415" s="348">
        <f>U122+U153+U211+U264+U343+U375+U390</f>
        <v>23750193.009999998</v>
      </c>
      <c r="I415" s="286"/>
      <c r="J415" s="349" t="s">
        <v>332</v>
      </c>
      <c r="K415" s="303"/>
      <c r="L415" s="303"/>
      <c r="M415" s="303"/>
      <c r="N415" s="303"/>
      <c r="O415" s="339"/>
      <c r="P415" s="313"/>
      <c r="Q415" s="303"/>
      <c r="R415" s="303"/>
      <c r="S415" s="303"/>
      <c r="T415" s="5"/>
      <c r="U415" s="5"/>
      <c r="V415" s="5"/>
      <c r="W415" s="5"/>
    </row>
    <row r="416" spans="1:23" ht="21" customHeight="1">
      <c r="A416" s="303"/>
      <c r="B416" s="303"/>
      <c r="C416" s="303"/>
      <c r="D416" s="303"/>
      <c r="E416" s="338"/>
      <c r="F416" s="303"/>
      <c r="G416" s="303"/>
      <c r="H416" s="350">
        <f>H414-H415</f>
        <v>16983569.990000002</v>
      </c>
      <c r="I416" s="19"/>
      <c r="J416" s="351" t="s">
        <v>15</v>
      </c>
      <c r="K416" s="303"/>
      <c r="L416" s="303"/>
      <c r="M416" s="303"/>
      <c r="N416" s="303"/>
      <c r="O416" s="339"/>
      <c r="P416" s="313"/>
      <c r="Q416" s="303"/>
      <c r="R416" s="303"/>
      <c r="S416" s="303"/>
      <c r="T416" s="5"/>
      <c r="U416" s="5"/>
      <c r="V416" s="5"/>
      <c r="W416" s="5"/>
    </row>
    <row r="417" spans="1:23" ht="14.25" customHeight="1">
      <c r="A417" s="281"/>
      <c r="B417" s="281"/>
      <c r="C417" s="281"/>
      <c r="D417" s="281"/>
      <c r="E417" s="352"/>
      <c r="F417" s="281"/>
      <c r="G417" s="281"/>
      <c r="H417" s="281"/>
      <c r="I417" s="281"/>
      <c r="J417" s="281"/>
      <c r="K417" s="281"/>
      <c r="L417" s="281"/>
      <c r="M417" s="281"/>
      <c r="N417" s="281"/>
      <c r="O417" s="281"/>
      <c r="P417" s="281"/>
      <c r="Q417" s="352"/>
      <c r="R417" s="281"/>
      <c r="S417" s="281"/>
      <c r="T417" s="5"/>
      <c r="U417" s="5"/>
      <c r="V417" s="5"/>
      <c r="W417" s="5"/>
    </row>
    <row r="418" spans="1:23" ht="14.25" customHeight="1">
      <c r="A418" s="281"/>
      <c r="B418" s="281"/>
      <c r="C418" s="353" t="s">
        <v>333</v>
      </c>
      <c r="D418" s="281"/>
      <c r="E418" s="352"/>
      <c r="F418" s="281"/>
      <c r="G418" s="281"/>
      <c r="H418" s="281"/>
      <c r="I418" s="281"/>
      <c r="J418" s="281"/>
      <c r="K418" s="281"/>
      <c r="L418" s="281"/>
      <c r="M418" s="281"/>
      <c r="N418" s="281"/>
      <c r="O418" s="281"/>
      <c r="P418" s="281"/>
      <c r="Q418" s="352"/>
      <c r="R418" s="281"/>
      <c r="S418" s="281"/>
      <c r="T418" s="5"/>
      <c r="U418" s="5"/>
      <c r="V418" s="5"/>
      <c r="W418" s="5"/>
    </row>
    <row r="419" spans="1:23" ht="18" customHeight="1" thickBot="1">
      <c r="A419" s="281"/>
      <c r="B419" s="281"/>
      <c r="C419" s="281"/>
      <c r="D419" s="281"/>
      <c r="E419" s="352"/>
      <c r="F419" s="281"/>
      <c r="G419" s="281"/>
      <c r="H419" s="354">
        <f>F414</f>
        <v>40702563</v>
      </c>
      <c r="I419" s="276"/>
      <c r="J419" s="355" t="s">
        <v>334</v>
      </c>
      <c r="K419" s="19"/>
      <c r="L419" s="303"/>
      <c r="M419" s="338"/>
      <c r="N419" s="303"/>
      <c r="O419" s="303"/>
      <c r="P419" s="281"/>
      <c r="Q419" s="352"/>
      <c r="R419" s="281"/>
      <c r="S419" s="281"/>
      <c r="T419" s="5"/>
      <c r="U419" s="5"/>
      <c r="V419" s="5"/>
      <c r="W419" s="5"/>
    </row>
    <row r="420" spans="1:23" ht="18" customHeight="1" thickTop="1">
      <c r="A420" s="281"/>
      <c r="B420" s="281"/>
      <c r="C420" s="281"/>
      <c r="D420" s="281"/>
      <c r="E420" s="352"/>
      <c r="F420" s="281"/>
      <c r="G420" s="281"/>
      <c r="H420" s="348">
        <f>U122+U153+U211+U264+U343+U375+U390+U405+U407</f>
        <v>24192407.589999996</v>
      </c>
      <c r="I420" s="286"/>
      <c r="J420" s="356" t="s">
        <v>332</v>
      </c>
      <c r="K420" s="19"/>
      <c r="L420" s="303"/>
      <c r="M420" s="338"/>
      <c r="N420" s="303"/>
      <c r="O420" s="303"/>
      <c r="P420" s="281"/>
      <c r="Q420" s="352"/>
      <c r="R420" s="281"/>
      <c r="S420" s="281"/>
      <c r="T420" s="5"/>
      <c r="U420" s="5"/>
      <c r="V420" s="5"/>
      <c r="W420" s="5"/>
    </row>
    <row r="421" spans="1:23" ht="18" customHeight="1">
      <c r="A421" s="281"/>
      <c r="B421" s="281"/>
      <c r="C421" s="281"/>
      <c r="D421" s="281"/>
      <c r="E421" s="352"/>
      <c r="F421" s="281"/>
      <c r="G421" s="281"/>
      <c r="H421" s="350">
        <f>H419-H420</f>
        <v>16510155.410000004</v>
      </c>
      <c r="I421" s="19"/>
      <c r="J421" s="355" t="s">
        <v>15</v>
      </c>
      <c r="K421" s="19"/>
      <c r="L421" s="303"/>
      <c r="M421" s="338"/>
      <c r="N421" s="303"/>
      <c r="O421" s="303"/>
      <c r="P421" s="281"/>
      <c r="Q421" s="352"/>
      <c r="R421" s="281"/>
      <c r="S421" s="281"/>
      <c r="T421" s="5"/>
      <c r="U421" s="5"/>
      <c r="V421" s="5"/>
      <c r="W421" s="5"/>
    </row>
    <row r="422" spans="1:23" ht="14.25" customHeight="1">
      <c r="A422" s="281"/>
      <c r="B422" s="281"/>
      <c r="C422" s="281"/>
      <c r="D422" s="281"/>
      <c r="E422" s="352"/>
      <c r="F422" s="281"/>
      <c r="G422" s="281"/>
      <c r="H422" s="281"/>
      <c r="I422" s="281"/>
      <c r="J422" s="281"/>
      <c r="K422" s="281"/>
      <c r="L422" s="281"/>
      <c r="M422" s="281"/>
      <c r="N422" s="281"/>
      <c r="O422" s="281"/>
      <c r="P422" s="281"/>
      <c r="Q422" s="352"/>
      <c r="R422" s="281"/>
      <c r="S422" s="281"/>
      <c r="T422" s="5"/>
      <c r="U422" s="5"/>
      <c r="V422" s="5"/>
      <c r="W422" s="5"/>
    </row>
    <row r="423" spans="1:23" ht="14.25" customHeight="1">
      <c r="A423" s="281"/>
      <c r="B423" s="281"/>
      <c r="C423" s="281"/>
      <c r="D423" s="281"/>
      <c r="E423" s="352"/>
      <c r="F423" s="281"/>
      <c r="G423" s="281"/>
      <c r="H423" s="281"/>
      <c r="I423" s="281"/>
      <c r="J423" s="281"/>
      <c r="K423" s="281"/>
      <c r="L423" s="281"/>
      <c r="M423" s="281"/>
      <c r="N423" s="281"/>
      <c r="O423" s="281"/>
      <c r="P423" s="281"/>
      <c r="Q423" s="352"/>
      <c r="R423" s="281"/>
      <c r="S423" s="281"/>
      <c r="T423" s="5"/>
      <c r="U423" s="5"/>
      <c r="V423" s="5"/>
      <c r="W423" s="5"/>
    </row>
    <row r="424" spans="1:23" ht="14.25" customHeight="1">
      <c r="A424" s="281"/>
      <c r="B424" s="281"/>
      <c r="C424" s="281"/>
      <c r="D424" s="281"/>
      <c r="E424" s="352"/>
      <c r="F424" s="281"/>
      <c r="G424" s="281"/>
      <c r="H424" s="281"/>
      <c r="I424" s="281"/>
      <c r="J424" s="281"/>
      <c r="K424" s="281"/>
      <c r="L424" s="281"/>
      <c r="M424" s="281"/>
      <c r="N424" s="281"/>
      <c r="O424" s="281"/>
      <c r="P424" s="281"/>
      <c r="Q424" s="352"/>
      <c r="R424" s="281"/>
      <c r="S424" s="281"/>
      <c r="T424" s="5"/>
      <c r="U424" s="5"/>
      <c r="V424" s="5"/>
      <c r="W424" s="5"/>
    </row>
    <row r="425" spans="1:23" ht="14.25" customHeight="1">
      <c r="A425" s="281"/>
      <c r="B425" s="281"/>
      <c r="C425" s="350" t="s">
        <v>335</v>
      </c>
      <c r="D425" s="18"/>
      <c r="E425" s="18"/>
      <c r="F425" s="19"/>
      <c r="G425" s="281"/>
      <c r="H425" s="281"/>
      <c r="I425" s="281"/>
      <c r="J425" s="281"/>
      <c r="K425" s="281"/>
      <c r="L425" s="281"/>
      <c r="M425" s="281"/>
      <c r="N425" s="281"/>
      <c r="O425" s="281"/>
      <c r="P425" s="281"/>
      <c r="Q425" s="352"/>
      <c r="R425" s="281"/>
      <c r="S425" s="281"/>
      <c r="T425" s="5"/>
      <c r="U425" s="5"/>
      <c r="V425" s="5"/>
      <c r="W425" s="5"/>
    </row>
    <row r="426" spans="1:23" ht="14.25" customHeight="1">
      <c r="A426" s="5"/>
      <c r="B426" s="5"/>
      <c r="C426" s="350" t="s">
        <v>336</v>
      </c>
      <c r="D426" s="18"/>
      <c r="E426" s="18"/>
      <c r="F426" s="1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4.25" customHeight="1">
      <c r="A427" s="5"/>
      <c r="B427" s="5"/>
      <c r="C427" s="281"/>
      <c r="D427" s="281"/>
      <c r="E427" s="352"/>
      <c r="F427" s="281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4.25" customHeight="1">
      <c r="A428" s="5"/>
      <c r="B428" s="5"/>
      <c r="C428" s="281"/>
      <c r="D428" s="281"/>
      <c r="E428" s="352"/>
      <c r="F428" s="281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4.25" customHeight="1">
      <c r="A429" s="5"/>
      <c r="B429" s="5"/>
      <c r="C429" s="357" t="s">
        <v>337</v>
      </c>
      <c r="D429" s="281"/>
      <c r="E429" s="352"/>
      <c r="F429" s="281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4.25" customHeight="1">
      <c r="A430" s="5"/>
      <c r="B430" s="5"/>
      <c r="C430" s="281"/>
      <c r="D430" s="281"/>
      <c r="E430" s="352"/>
      <c r="F430" s="281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4.25" customHeight="1">
      <c r="A431" s="281"/>
      <c r="B431" s="281"/>
      <c r="C431" s="281"/>
      <c r="D431" s="281"/>
      <c r="E431" s="352"/>
      <c r="F431" s="281"/>
      <c r="G431" s="281"/>
      <c r="H431" s="281"/>
      <c r="I431" s="281"/>
      <c r="J431" s="281"/>
      <c r="K431" s="281"/>
      <c r="L431" s="281"/>
      <c r="M431" s="281"/>
      <c r="N431" s="281"/>
      <c r="O431" s="281"/>
      <c r="P431" s="281"/>
      <c r="Q431" s="352"/>
      <c r="R431" s="281"/>
      <c r="S431" s="281"/>
      <c r="T431" s="5"/>
      <c r="U431" s="5"/>
      <c r="V431" s="5"/>
      <c r="W431" s="5"/>
    </row>
    <row r="432" spans="1:23" ht="14.25" customHeight="1">
      <c r="A432" s="281"/>
      <c r="B432" s="281"/>
      <c r="C432" s="281"/>
      <c r="D432" s="281"/>
      <c r="E432" s="352"/>
      <c r="F432" s="281"/>
      <c r="G432" s="281"/>
      <c r="H432" s="281"/>
      <c r="I432" s="281"/>
      <c r="J432" s="281"/>
      <c r="K432" s="281"/>
      <c r="L432" s="281"/>
      <c r="M432" s="281"/>
      <c r="N432" s="281"/>
      <c r="O432" s="281"/>
      <c r="P432" s="281"/>
      <c r="Q432" s="352"/>
      <c r="R432" s="281"/>
      <c r="S432" s="281"/>
      <c r="T432" s="5"/>
      <c r="U432" s="5"/>
      <c r="V432" s="5"/>
      <c r="W432" s="5"/>
    </row>
    <row r="433" spans="1:23" ht="14.25" customHeight="1">
      <c r="A433" s="281"/>
      <c r="B433" s="281"/>
      <c r="C433" s="281"/>
      <c r="D433" s="281"/>
      <c r="E433" s="352"/>
      <c r="F433" s="281"/>
      <c r="G433" s="281"/>
      <c r="H433" s="281"/>
      <c r="I433" s="281"/>
      <c r="J433" s="281"/>
      <c r="K433" s="281"/>
      <c r="L433" s="281"/>
      <c r="M433" s="281"/>
      <c r="N433" s="281"/>
      <c r="O433" s="281"/>
      <c r="P433" s="281"/>
      <c r="Q433" s="352"/>
      <c r="R433" s="281"/>
      <c r="S433" s="281"/>
      <c r="T433" s="5"/>
      <c r="U433" s="5"/>
      <c r="V433" s="5"/>
      <c r="W433" s="5"/>
    </row>
    <row r="434" spans="1:23" ht="14.25" customHeight="1">
      <c r="A434" s="281"/>
      <c r="B434" s="281"/>
      <c r="C434" s="281"/>
      <c r="D434" s="281"/>
      <c r="E434" s="352"/>
      <c r="F434" s="281"/>
      <c r="G434" s="281"/>
      <c r="H434" s="281"/>
      <c r="I434" s="281"/>
      <c r="J434" s="281"/>
      <c r="K434" s="281"/>
      <c r="L434" s="281"/>
      <c r="M434" s="281"/>
      <c r="N434" s="281"/>
      <c r="O434" s="281"/>
      <c r="P434" s="281"/>
      <c r="Q434" s="352"/>
      <c r="R434" s="281"/>
      <c r="S434" s="281"/>
      <c r="T434" s="5"/>
      <c r="U434" s="5"/>
      <c r="V434" s="5"/>
      <c r="W434" s="5"/>
    </row>
    <row r="435" spans="1:23" ht="14.25" customHeight="1">
      <c r="A435" s="281"/>
      <c r="B435" s="281"/>
      <c r="C435" s="281"/>
      <c r="D435" s="281"/>
      <c r="E435" s="352"/>
      <c r="F435" s="281"/>
      <c r="G435" s="281"/>
      <c r="H435" s="281"/>
      <c r="I435" s="281"/>
      <c r="J435" s="281"/>
      <c r="K435" s="281"/>
      <c r="L435" s="281"/>
      <c r="M435" s="281"/>
      <c r="N435" s="281"/>
      <c r="O435" s="281"/>
      <c r="P435" s="281"/>
      <c r="Q435" s="352"/>
      <c r="R435" s="281"/>
      <c r="S435" s="281"/>
      <c r="T435" s="5"/>
      <c r="U435" s="5"/>
      <c r="V435" s="5"/>
      <c r="W435" s="5"/>
    </row>
    <row r="436" spans="1:23" ht="14.25" customHeight="1">
      <c r="A436" s="281"/>
      <c r="B436" s="281"/>
      <c r="C436" s="281"/>
      <c r="D436" s="281"/>
      <c r="E436" s="352"/>
      <c r="F436" s="281"/>
      <c r="G436" s="281"/>
      <c r="H436" s="281"/>
      <c r="I436" s="281"/>
      <c r="J436" s="281"/>
      <c r="K436" s="281"/>
      <c r="L436" s="281"/>
      <c r="M436" s="281"/>
      <c r="N436" s="281"/>
      <c r="O436" s="281"/>
      <c r="P436" s="281"/>
      <c r="Q436" s="352"/>
      <c r="R436" s="281"/>
      <c r="S436" s="281"/>
      <c r="T436" s="5"/>
      <c r="U436" s="5"/>
      <c r="V436" s="5"/>
      <c r="W436" s="5"/>
    </row>
    <row r="437" spans="1:23" ht="14.25" customHeight="1">
      <c r="A437" s="281"/>
      <c r="B437" s="281"/>
      <c r="C437" s="281"/>
      <c r="D437" s="281"/>
      <c r="E437" s="352"/>
      <c r="F437" s="281"/>
      <c r="G437" s="281"/>
      <c r="H437" s="281"/>
      <c r="I437" s="281"/>
      <c r="J437" s="281"/>
      <c r="K437" s="281"/>
      <c r="L437" s="281"/>
      <c r="M437" s="281"/>
      <c r="N437" s="281"/>
      <c r="O437" s="281"/>
      <c r="P437" s="281"/>
      <c r="Q437" s="352"/>
      <c r="R437" s="281"/>
      <c r="S437" s="281"/>
      <c r="T437" s="5"/>
      <c r="U437" s="5"/>
      <c r="V437" s="5"/>
      <c r="W437" s="5"/>
    </row>
    <row r="438" spans="1:23" ht="14.25" customHeight="1">
      <c r="A438" s="281"/>
      <c r="B438" s="281"/>
      <c r="C438" s="281"/>
      <c r="D438" s="281"/>
      <c r="E438" s="352"/>
      <c r="F438" s="281"/>
      <c r="G438" s="281"/>
      <c r="H438" s="281"/>
      <c r="I438" s="281"/>
      <c r="J438" s="281"/>
      <c r="K438" s="281"/>
      <c r="L438" s="281"/>
      <c r="M438" s="281"/>
      <c r="N438" s="281"/>
      <c r="O438" s="281"/>
      <c r="P438" s="281"/>
      <c r="Q438" s="352"/>
      <c r="R438" s="281"/>
      <c r="S438" s="281"/>
      <c r="T438" s="5"/>
      <c r="U438" s="5"/>
      <c r="V438" s="5"/>
      <c r="W438" s="5"/>
    </row>
  </sheetData>
  <mergeCells count="67">
    <mergeCell ref="H420:I420"/>
    <mergeCell ref="J420:K420"/>
    <mergeCell ref="H421:I421"/>
    <mergeCell ref="J421:K421"/>
    <mergeCell ref="C425:F425"/>
    <mergeCell ref="C426:F426"/>
    <mergeCell ref="F415:G415"/>
    <mergeCell ref="H415:I415"/>
    <mergeCell ref="O415:P415"/>
    <mergeCell ref="H416:I416"/>
    <mergeCell ref="O416:P416"/>
    <mergeCell ref="H419:I419"/>
    <mergeCell ref="J419:K419"/>
    <mergeCell ref="G411:H411"/>
    <mergeCell ref="M412:N412"/>
    <mergeCell ref="G413:H413"/>
    <mergeCell ref="F414:G414"/>
    <mergeCell ref="H414:I414"/>
    <mergeCell ref="O414:P414"/>
    <mergeCell ref="A375:D375"/>
    <mergeCell ref="A377:S377"/>
    <mergeCell ref="A378:D378"/>
    <mergeCell ref="A379:S379"/>
    <mergeCell ref="A390:D390"/>
    <mergeCell ref="A392:S392"/>
    <mergeCell ref="A347:S347"/>
    <mergeCell ref="F353:S353"/>
    <mergeCell ref="B370:C370"/>
    <mergeCell ref="A372:S372"/>
    <mergeCell ref="A373:S373"/>
    <mergeCell ref="A374:S374"/>
    <mergeCell ref="B333:C333"/>
    <mergeCell ref="A337:C337"/>
    <mergeCell ref="A342:S342"/>
    <mergeCell ref="A343:D343"/>
    <mergeCell ref="A345:S345"/>
    <mergeCell ref="A346:D346"/>
    <mergeCell ref="C264:D264"/>
    <mergeCell ref="A266:S266"/>
    <mergeCell ref="A267:D267"/>
    <mergeCell ref="A268:S268"/>
    <mergeCell ref="F278:S278"/>
    <mergeCell ref="F330:S330"/>
    <mergeCell ref="A211:D211"/>
    <mergeCell ref="A213:S213"/>
    <mergeCell ref="A214:D214"/>
    <mergeCell ref="A215:S215"/>
    <mergeCell ref="F221:S221"/>
    <mergeCell ref="B230:C230"/>
    <mergeCell ref="A154:D154"/>
    <mergeCell ref="A155:S155"/>
    <mergeCell ref="A156:D156"/>
    <mergeCell ref="A157:S157"/>
    <mergeCell ref="F163:S163"/>
    <mergeCell ref="F186:S186"/>
    <mergeCell ref="A122:D122"/>
    <mergeCell ref="A124:S124"/>
    <mergeCell ref="A125:D125"/>
    <mergeCell ref="A126:S126"/>
    <mergeCell ref="F133:S133"/>
    <mergeCell ref="A153:D153"/>
    <mergeCell ref="A1:S3"/>
    <mergeCell ref="A4:S4"/>
    <mergeCell ref="A5:D5"/>
    <mergeCell ref="F21:S21"/>
    <mergeCell ref="B100:C100"/>
    <mergeCell ref="B104:C104"/>
  </mergeCells>
  <pageMargins left="1" right="1" top="1" bottom="1" header="0" footer="0"/>
  <pageSetup paperSize="8" orientation="landscape"/>
  <rowBreaks count="14" manualBreakCount="14">
    <brk man="1"/>
    <brk id="391" man="1"/>
    <brk id="265" man="1"/>
    <brk id="44" man="1"/>
    <brk id="430" man="1"/>
    <brk id="243" man="1"/>
    <brk id="212" man="1"/>
    <brk id="376" man="1"/>
    <brk id="312" man="1"/>
    <brk id="344" man="1"/>
    <brk id="89" man="1"/>
    <brk id="185" man="1"/>
    <brk id="122" man="1"/>
    <brk id="154" man="1"/>
  </rowBreaks>
  <colBreaks count="1" manualBreakCount="1">
    <brk id="19" man="1"/>
  </col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รายงานผลรายจ่าย63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SUPER-MAX</dc:creator>
  <cp:lastModifiedBy>SUPER-MAX</cp:lastModifiedBy>
  <dcterms:created xsi:type="dcterms:W3CDTF">2020-07-02T16:51:24Z</dcterms:created>
  <dcterms:modified xsi:type="dcterms:W3CDTF">2020-07-02T16:54:06Z</dcterms:modified>
</cp:coreProperties>
</file>