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บเดือน ปี 63 - แก้ยอดยกมาตามสตง\"/>
    </mc:Choice>
  </mc:AlternateContent>
  <xr:revisionPtr revIDLastSave="0" documentId="8_{1ECFF739-D55F-477C-BE44-FC67A265135F}" xr6:coauthVersionLast="45" xr6:coauthVersionMax="45" xr10:uidLastSave="{00000000-0000-0000-0000-000000000000}"/>
  <bookViews>
    <workbookView xWindow="-120" yWindow="-120" windowWidth="20730" windowHeight="11160" tabRatio="857" activeTab="19" xr2:uid="{00000000-000D-0000-FFFF-FFFF00000000}"/>
  </bookViews>
  <sheets>
    <sheet name="ใบผ่าน1" sheetId="22" r:id="rId1"/>
    <sheet name="ใบผ่าน 2" sheetId="33" r:id="rId2"/>
    <sheet name="ใบผ่าน 3" sheetId="34" r:id="rId3"/>
    <sheet name="ใบผ่านทั่วไป1" sheetId="66" r:id="rId4"/>
    <sheet name="ใบผ่านทั่วไป1 (2)" sheetId="82" state="hidden" r:id="rId5"/>
    <sheet name="ใบผ่านทั่วไป2" sheetId="83" r:id="rId6"/>
    <sheet name="เงินรับฝาก" sheetId="5" r:id="rId7"/>
    <sheet name="รายจ่ายค้างจ่าย" sheetId="71" r:id="rId8"/>
    <sheet name="เงินอุดหนุนทั่วไป" sheetId="74" r:id="rId9"/>
    <sheet name="รายจ่ายรอจ่าย" sheetId="79" r:id="rId10"/>
    <sheet name="จ่ายขาดเงินสะสม" sheetId="72" r:id="rId11"/>
    <sheet name="บัญชีรายรับ" sheetId="4" r:id="rId12"/>
    <sheet name="รายงานรับ-จ่าย" sheetId="76" r:id="rId13"/>
    <sheet name="งบทดลอง" sheetId="3" r:id="rId14"/>
    <sheet name="งบรับจ่าย" sheetId="37" r:id="rId15"/>
    <sheet name="งบกระทบยอด" sheetId="70" r:id="rId16"/>
    <sheet name="กรุงไทย" sheetId="11" r:id="rId17"/>
    <sheet name="01552-2-55731-1" sheetId="46" r:id="rId18"/>
    <sheet name="01552-2-57099-1" sheetId="47" r:id="rId19"/>
    <sheet name="01552-2-58578-2" sheetId="48" r:id="rId20"/>
    <sheet name="05424050559-1" sheetId="49" r:id="rId21"/>
    <sheet name="3001-0-25263-7" sheetId="77" r:id="rId22"/>
    <sheet name="หนังสือส่ง" sheetId="18" state="hidden" r:id="rId23"/>
    <sheet name="หนังสือส่ง (3)" sheetId="69" state="hidden" r:id="rId24"/>
    <sheet name="หนังสือส่ง (4)" sheetId="80" state="hidden" r:id="rId25"/>
    <sheet name="งบทดลอง (2)" sheetId="81" state="hidden" r:id="rId26"/>
  </sheets>
  <externalReferences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7">'01552-2-55731-1'!$A$1:$F$37</definedName>
    <definedName name="_xlnm.Print_Area" localSheetId="18">'01552-2-57099-1'!$A$1:$F$37</definedName>
    <definedName name="_xlnm.Print_Area" localSheetId="19">'01552-2-58578-2'!$A$1:$F$36</definedName>
    <definedName name="_xlnm.Print_Area" localSheetId="20">'05424050559-1'!$A$1:$F$35</definedName>
    <definedName name="_xlnm.Print_Area" localSheetId="21">'3001-0-25263-7'!$A$1:$F$35</definedName>
    <definedName name="_xlnm.Print_Area" localSheetId="16">กรุงไทย!$A$1:$F$34</definedName>
    <definedName name="_xlnm.Print_Area" localSheetId="13">งบทดลอง!$A$1:$E$39</definedName>
    <definedName name="_xlnm.Print_Area" localSheetId="25">'งบทดลอง (2)'!$A$1:$E$43</definedName>
    <definedName name="_xlnm.Print_Area" localSheetId="14">งบรับจ่าย!$A$1:$D$40</definedName>
    <definedName name="_xlnm.Print_Area" localSheetId="6">เงินรับฝาก!$A$1:$F$20</definedName>
    <definedName name="_xlnm.Print_Area" localSheetId="8">เงินอุดหนุนทั่วไป!$A$1:$F$23</definedName>
    <definedName name="_xlnm.Print_Area" localSheetId="11">บัญชีรายรับ!$A$1:$E$71</definedName>
    <definedName name="_xlnm.Print_Area" localSheetId="1">'ใบผ่าน 2'!$A$1:$F$68</definedName>
    <definedName name="_xlnm.Print_Area" localSheetId="2">'ใบผ่าน 3'!$A$1:$F$42</definedName>
    <definedName name="_xlnm.Print_Area" localSheetId="0">ใบผ่าน1!$A$1:$F$43</definedName>
    <definedName name="_xlnm.Print_Area" localSheetId="3">ใบผ่านทั่วไป1!$A$1:$F$39</definedName>
    <definedName name="_xlnm.Print_Area" localSheetId="4">'ใบผ่านทั่วไป1 (2)'!$A$1:$F$37</definedName>
    <definedName name="_xlnm.Print_Area" localSheetId="5">ใบผ่านทั่วไป2!$A$1:$F$39</definedName>
    <definedName name="_xlnm.Print_Area" localSheetId="12">'รายงานรับ-จ่าย'!$A$1:$E$84</definedName>
    <definedName name="_xlnm.Print_Titles" localSheetId="10">จ่ายขาดเงินสะสม!$1:$6</definedName>
    <definedName name="_xlnm.Print_Titles" localSheetId="11">บัญชีรายรับ!$4:$4</definedName>
    <definedName name="_xlnm.Print_Titles" localSheetId="1">'ใบผ่าน 2'!$5:$5</definedName>
    <definedName name="_xlnm.Print_Titles" localSheetId="2">'ใบผ่าน 3'!$5:$5</definedName>
    <definedName name="_xlnm.Print_Titles" localSheetId="7">รายจ่ายค้างจ่าย!$1:$6</definedName>
    <definedName name="_xlnm.Print_Titles" localSheetId="9">รายจ่ายรอจ่าย!$1:$6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3" l="1"/>
  <c r="F18" i="5"/>
  <c r="F11" i="5"/>
  <c r="E11" i="5"/>
  <c r="D11" i="5"/>
  <c r="C18" i="5"/>
  <c r="B17" i="76" l="1"/>
  <c r="D10" i="3" l="1"/>
  <c r="E36" i="3"/>
  <c r="B74" i="76"/>
  <c r="E74" i="76"/>
  <c r="D19" i="4" l="1"/>
  <c r="D22" i="47" l="1"/>
  <c r="F15" i="22"/>
  <c r="F17" i="34"/>
  <c r="E37" i="3"/>
  <c r="E7" i="76"/>
  <c r="D26" i="4" l="1"/>
  <c r="B65" i="76" l="1"/>
  <c r="E65" i="76"/>
  <c r="E13" i="33" l="1"/>
  <c r="E12" i="33"/>
  <c r="E6" i="46" l="1"/>
  <c r="D25" i="46"/>
  <c r="D12" i="47"/>
  <c r="E7" i="22" l="1"/>
  <c r="F44" i="33"/>
  <c r="F29" i="34"/>
  <c r="E11" i="22"/>
  <c r="D39" i="4" l="1"/>
  <c r="D38" i="4"/>
  <c r="D9" i="4"/>
  <c r="D12" i="4"/>
  <c r="D11" i="4"/>
  <c r="D6" i="4"/>
  <c r="E38" i="4"/>
  <c r="F48" i="33" l="1"/>
  <c r="F47" i="33"/>
  <c r="E49" i="76"/>
  <c r="B49" i="76" s="1"/>
  <c r="D21" i="3" s="1"/>
  <c r="E17" i="76"/>
  <c r="D34" i="4"/>
  <c r="D31" i="4"/>
  <c r="D29" i="4"/>
  <c r="D28" i="4"/>
  <c r="D27" i="4"/>
  <c r="D24" i="4"/>
  <c r="D22" i="4"/>
  <c r="D14" i="4"/>
  <c r="D8" i="4"/>
  <c r="F11" i="83"/>
  <c r="F7" i="83"/>
  <c r="E43" i="76" l="1"/>
  <c r="B43" i="76" s="1"/>
  <c r="E36" i="4"/>
  <c r="D36" i="4" s="1"/>
  <c r="D12" i="5" l="1"/>
  <c r="F12" i="5" s="1"/>
  <c r="K12" i="33" l="1"/>
  <c r="E32" i="46" l="1"/>
  <c r="D17" i="70"/>
  <c r="J14" i="33"/>
  <c r="J13" i="33"/>
  <c r="J12" i="33"/>
  <c r="J11" i="33"/>
  <c r="E29" i="49" l="1"/>
  <c r="A29" i="49"/>
  <c r="E38" i="83"/>
  <c r="C38" i="83"/>
  <c r="A38" i="83"/>
  <c r="C37" i="83"/>
  <c r="A37" i="83"/>
  <c r="E37" i="83" s="1"/>
  <c r="D32" i="83"/>
  <c r="E30" i="83"/>
  <c r="F30" i="83" l="1"/>
  <c r="G30" i="83" s="1"/>
  <c r="E36" i="82" l="1"/>
  <c r="C36" i="82"/>
  <c r="A36" i="82"/>
  <c r="C35" i="82"/>
  <c r="A35" i="82"/>
  <c r="E35" i="82" s="1"/>
  <c r="D30" i="82"/>
  <c r="E28" i="82"/>
  <c r="F7" i="82"/>
  <c r="F28" i="82" l="1"/>
  <c r="G28" i="82" s="1"/>
  <c r="F32" i="34"/>
  <c r="E53" i="4" s="1"/>
  <c r="D6" i="74" l="1"/>
  <c r="C35" i="4" l="1"/>
  <c r="A6" i="49"/>
  <c r="E77" i="76" l="1"/>
  <c r="F34" i="22" l="1"/>
  <c r="E34" i="22"/>
  <c r="D6" i="5" l="1"/>
  <c r="F59" i="33"/>
  <c r="E59" i="33" l="1"/>
  <c r="D10" i="5" l="1"/>
  <c r="D18" i="11" l="1"/>
  <c r="G7" i="72" l="1"/>
  <c r="F27" i="66" l="1"/>
  <c r="F13" i="3" l="1"/>
  <c r="E9" i="66" l="1"/>
  <c r="E6" i="66"/>
  <c r="E31" i="66" l="1"/>
  <c r="E6" i="49"/>
  <c r="F13" i="70"/>
  <c r="D7" i="70"/>
  <c r="C6" i="74" l="1"/>
  <c r="D24" i="71"/>
  <c r="E24" i="71"/>
  <c r="F24" i="71"/>
  <c r="H24" i="71"/>
  <c r="C24" i="71"/>
  <c r="D13" i="5"/>
  <c r="E27" i="76" s="1"/>
  <c r="B27" i="76" s="1"/>
  <c r="D29" i="3" s="1"/>
  <c r="E34" i="4" l="1"/>
  <c r="E33" i="4"/>
  <c r="D33" i="4" s="1"/>
  <c r="E32" i="4"/>
  <c r="D32" i="4" s="1"/>
  <c r="E31" i="4"/>
  <c r="E30" i="4"/>
  <c r="E29" i="4"/>
  <c r="E69" i="76"/>
  <c r="B69" i="76" s="1"/>
  <c r="E30" i="76"/>
  <c r="B30" i="76" s="1"/>
  <c r="E45" i="4" l="1"/>
  <c r="D45" i="4" s="1"/>
  <c r="E53" i="76" l="1"/>
  <c r="E27" i="4"/>
  <c r="E25" i="4"/>
  <c r="E28" i="4"/>
  <c r="E24" i="4"/>
  <c r="E22" i="4"/>
  <c r="E19" i="4"/>
  <c r="E17" i="4"/>
  <c r="E14" i="4"/>
  <c r="E12" i="4"/>
  <c r="E7" i="4"/>
  <c r="E26" i="4" l="1"/>
  <c r="D25" i="4"/>
  <c r="E23" i="4"/>
  <c r="E6" i="34"/>
  <c r="E32" i="34" s="1"/>
  <c r="G10" i="71" l="1"/>
  <c r="G11" i="71"/>
  <c r="G12" i="71"/>
  <c r="G9" i="71"/>
  <c r="G16" i="71"/>
  <c r="G17" i="71"/>
  <c r="G18" i="71"/>
  <c r="G19" i="71"/>
  <c r="G20" i="71"/>
  <c r="G21" i="71"/>
  <c r="G22" i="71"/>
  <c r="G23" i="71"/>
  <c r="G15" i="71"/>
  <c r="G24" i="71" l="1"/>
  <c r="C38" i="4"/>
  <c r="A48" i="76" l="1"/>
  <c r="A54" i="76"/>
  <c r="A53" i="76"/>
  <c r="A52" i="76"/>
  <c r="C26" i="4" l="1"/>
  <c r="F28" i="4"/>
  <c r="E52" i="76" l="1"/>
  <c r="B52" i="76" s="1"/>
  <c r="D24" i="3" l="1"/>
  <c r="F10" i="66"/>
  <c r="F7" i="66"/>
  <c r="C34" i="72" l="1"/>
  <c r="F34" i="72"/>
  <c r="E75" i="76" l="1"/>
  <c r="B75" i="76" s="1"/>
  <c r="D28" i="3" l="1"/>
  <c r="E32" i="81"/>
  <c r="D14" i="81"/>
  <c r="E8" i="4"/>
  <c r="D21" i="81"/>
  <c r="D29" i="81"/>
  <c r="E33" i="81"/>
  <c r="I33" i="81"/>
  <c r="E40" i="81"/>
  <c r="E35" i="81"/>
  <c r="D25" i="81"/>
  <c r="D17" i="81"/>
  <c r="D13" i="81"/>
  <c r="D10" i="81"/>
  <c r="D7" i="81"/>
  <c r="D30" i="81"/>
  <c r="D26" i="81"/>
  <c r="D27" i="81"/>
  <c r="D24" i="81"/>
  <c r="D23" i="81"/>
  <c r="D22" i="81"/>
  <c r="D20" i="81"/>
  <c r="D19" i="81"/>
  <c r="D18" i="81"/>
  <c r="D16" i="81"/>
  <c r="D15" i="81"/>
  <c r="D9" i="81"/>
  <c r="D6" i="81"/>
  <c r="E39" i="81"/>
  <c r="E38" i="81"/>
  <c r="E37" i="81"/>
  <c r="E36" i="81"/>
  <c r="D11" i="81"/>
  <c r="D8" i="81"/>
  <c r="F48" i="81"/>
  <c r="F13" i="81"/>
  <c r="I25" i="81" l="1"/>
  <c r="F32" i="81"/>
  <c r="G32" i="81" s="1"/>
  <c r="E43" i="81"/>
  <c r="F44" i="3" l="1"/>
  <c r="E56" i="76"/>
  <c r="B33" i="76" l="1"/>
  <c r="E51" i="76" l="1"/>
  <c r="B51" i="76" s="1"/>
  <c r="E50" i="76"/>
  <c r="B50" i="76" s="1"/>
  <c r="E45" i="76"/>
  <c r="B45" i="76" s="1"/>
  <c r="F15" i="5"/>
  <c r="D9" i="5"/>
  <c r="D7" i="4"/>
  <c r="E9" i="4"/>
  <c r="E34" i="3"/>
  <c r="B9" i="80"/>
  <c r="F22" i="66"/>
  <c r="E27" i="80"/>
  <c r="E27" i="69"/>
  <c r="E20" i="76"/>
  <c r="B20" i="76" s="1"/>
  <c r="F17" i="66"/>
  <c r="E26" i="80"/>
  <c r="A19" i="80"/>
  <c r="G7" i="80"/>
  <c r="F7" i="80"/>
  <c r="A36" i="46"/>
  <c r="A36" i="47" s="1"/>
  <c r="C37" i="66"/>
  <c r="C38" i="66"/>
  <c r="A38" i="66"/>
  <c r="C40" i="34"/>
  <c r="C41" i="34"/>
  <c r="A41" i="34"/>
  <c r="C66" i="33"/>
  <c r="C67" i="33"/>
  <c r="A67" i="33"/>
  <c r="E42" i="22"/>
  <c r="E67" i="33" s="1"/>
  <c r="E26" i="69"/>
  <c r="A3" i="70"/>
  <c r="B4" i="71"/>
  <c r="A4" i="74" s="1"/>
  <c r="F32" i="46"/>
  <c r="E70" i="76"/>
  <c r="E72" i="76"/>
  <c r="B72" i="76" s="1"/>
  <c r="B55" i="76"/>
  <c r="G7" i="69"/>
  <c r="G49" i="33"/>
  <c r="E46" i="76"/>
  <c r="B46" i="76" s="1"/>
  <c r="F7" i="69"/>
  <c r="B9" i="69"/>
  <c r="A19" i="69"/>
  <c r="A6" i="77"/>
  <c r="E6" i="77"/>
  <c r="D12" i="77"/>
  <c r="D20" i="77"/>
  <c r="D28" i="77"/>
  <c r="A29" i="77"/>
  <c r="A33" i="77"/>
  <c r="A34" i="77"/>
  <c r="D12" i="49"/>
  <c r="D20" i="49"/>
  <c r="D28" i="49"/>
  <c r="F29" i="49"/>
  <c r="A33" i="49"/>
  <c r="A34" i="49"/>
  <c r="A6" i="48"/>
  <c r="E6" i="48"/>
  <c r="D20" i="48"/>
  <c r="D29" i="48"/>
  <c r="A30" i="48"/>
  <c r="E30" i="48"/>
  <c r="F30" i="48" s="1"/>
  <c r="A34" i="48"/>
  <c r="A35" i="48"/>
  <c r="A6" i="47"/>
  <c r="E6" i="47"/>
  <c r="D30" i="47"/>
  <c r="A31" i="47"/>
  <c r="A6" i="46"/>
  <c r="D11" i="46"/>
  <c r="F6" i="46" s="1"/>
  <c r="D31" i="46"/>
  <c r="A32" i="46"/>
  <c r="A35" i="46"/>
  <c r="A35" i="47" s="1"/>
  <c r="E6" i="11"/>
  <c r="D11" i="11"/>
  <c r="D27" i="11"/>
  <c r="E28" i="11"/>
  <c r="F28" i="11" s="1"/>
  <c r="F7" i="70"/>
  <c r="F8" i="70"/>
  <c r="F10" i="70"/>
  <c r="D11" i="70"/>
  <c r="F11" i="70" s="1"/>
  <c r="D12" i="70"/>
  <c r="F12" i="70" s="1"/>
  <c r="F14" i="70"/>
  <c r="F15" i="70"/>
  <c r="F16" i="70"/>
  <c r="D18" i="70"/>
  <c r="F18" i="70" s="1"/>
  <c r="E21" i="70"/>
  <c r="B8" i="37"/>
  <c r="B9" i="37"/>
  <c r="B10" i="37"/>
  <c r="B11" i="37"/>
  <c r="B12" i="37"/>
  <c r="B13" i="37"/>
  <c r="B14" i="37"/>
  <c r="B23" i="37"/>
  <c r="B25" i="37"/>
  <c r="B28" i="37"/>
  <c r="B29" i="37"/>
  <c r="B30" i="37"/>
  <c r="B31" i="37"/>
  <c r="B32" i="37"/>
  <c r="B33" i="37"/>
  <c r="B34" i="37"/>
  <c r="B35" i="37"/>
  <c r="B36" i="37"/>
  <c r="E31" i="47"/>
  <c r="F31" i="47" s="1"/>
  <c r="E29" i="77"/>
  <c r="F29" i="77" s="1"/>
  <c r="A16" i="76"/>
  <c r="E18" i="76"/>
  <c r="B19" i="76"/>
  <c r="E21" i="76"/>
  <c r="B21" i="76" s="1"/>
  <c r="B32" i="76"/>
  <c r="D15" i="3"/>
  <c r="A44" i="76"/>
  <c r="B24" i="37" s="1"/>
  <c r="E44" i="76"/>
  <c r="B44" i="76" s="1"/>
  <c r="B26" i="37"/>
  <c r="B27" i="37"/>
  <c r="E47" i="76"/>
  <c r="B47" i="76" s="1"/>
  <c r="E48" i="76"/>
  <c r="B48" i="76" s="1"/>
  <c r="E54" i="76"/>
  <c r="B54" i="76" s="1"/>
  <c r="B56" i="76"/>
  <c r="E67" i="76"/>
  <c r="E71" i="76"/>
  <c r="B71" i="76" s="1"/>
  <c r="E73" i="76"/>
  <c r="B73" i="76" s="1"/>
  <c r="E76" i="76"/>
  <c r="B76" i="76" s="1"/>
  <c r="B77" i="76"/>
  <c r="E78" i="76"/>
  <c r="B78" i="76" s="1"/>
  <c r="C6" i="4"/>
  <c r="C10" i="4"/>
  <c r="E11" i="4"/>
  <c r="E13" i="4"/>
  <c r="D13" i="4" s="1"/>
  <c r="F13" i="4" s="1"/>
  <c r="E15" i="4"/>
  <c r="D15" i="4" s="1"/>
  <c r="E16" i="4"/>
  <c r="D16" i="4" s="1"/>
  <c r="F16" i="4" s="1"/>
  <c r="D17" i="4"/>
  <c r="F17" i="4" s="1"/>
  <c r="C18" i="4"/>
  <c r="F20" i="4"/>
  <c r="C21" i="4"/>
  <c r="C23" i="4"/>
  <c r="F30" i="4"/>
  <c r="C40" i="4"/>
  <c r="D34" i="72"/>
  <c r="E34" i="72"/>
  <c r="G34" i="72"/>
  <c r="H34" i="72"/>
  <c r="E20" i="79"/>
  <c r="C20" i="79"/>
  <c r="F20" i="79"/>
  <c r="G20" i="79"/>
  <c r="H20" i="79"/>
  <c r="F6" i="74"/>
  <c r="B9" i="74"/>
  <c r="E9" i="74"/>
  <c r="E6" i="5"/>
  <c r="E9" i="5"/>
  <c r="E60" i="76" s="1"/>
  <c r="D7" i="5"/>
  <c r="E43" i="4" s="1"/>
  <c r="D43" i="4" s="1"/>
  <c r="F43" i="4" s="1"/>
  <c r="E7" i="5"/>
  <c r="E61" i="76" s="1"/>
  <c r="B61" i="76" s="1"/>
  <c r="D8" i="5"/>
  <c r="E44" i="4" s="1"/>
  <c r="D44" i="4" s="1"/>
  <c r="E8" i="5"/>
  <c r="E62" i="76" s="1"/>
  <c r="B62" i="76" s="1"/>
  <c r="E13" i="5"/>
  <c r="E63" i="76" s="1"/>
  <c r="B63" i="76" s="1"/>
  <c r="E10" i="5"/>
  <c r="E64" i="76" s="1"/>
  <c r="B64" i="76" s="1"/>
  <c r="D14" i="5"/>
  <c r="E46" i="4" s="1"/>
  <c r="D46" i="4" s="1"/>
  <c r="F46" i="4" s="1"/>
  <c r="E14" i="5"/>
  <c r="E66" i="76" s="1"/>
  <c r="B66" i="76" s="1"/>
  <c r="D16" i="5"/>
  <c r="D17" i="5"/>
  <c r="E49" i="4" s="1"/>
  <c r="D49" i="4" s="1"/>
  <c r="E17" i="5"/>
  <c r="E68" i="76" s="1"/>
  <c r="B68" i="76" s="1"/>
  <c r="D32" i="66"/>
  <c r="A37" i="66"/>
  <c r="E37" i="66" s="1"/>
  <c r="D35" i="34"/>
  <c r="A40" i="34"/>
  <c r="E40" i="34" s="1"/>
  <c r="F1" i="33"/>
  <c r="F1" i="34" s="1"/>
  <c r="F2" i="33"/>
  <c r="F2" i="34" s="1"/>
  <c r="D61" i="33"/>
  <c r="A66" i="33"/>
  <c r="E66" i="33" s="1"/>
  <c r="E41" i="22"/>
  <c r="D19" i="70"/>
  <c r="F19" i="70" s="1"/>
  <c r="D9" i="70"/>
  <c r="F9" i="70" s="1"/>
  <c r="E86" i="76"/>
  <c r="F17" i="70"/>
  <c r="D18" i="5" l="1"/>
  <c r="B67" i="76"/>
  <c r="B18" i="76"/>
  <c r="D14" i="3" s="1"/>
  <c r="E59" i="76"/>
  <c r="E79" i="76" s="1"/>
  <c r="F6" i="5"/>
  <c r="E18" i="5"/>
  <c r="F2" i="66"/>
  <c r="F2" i="83"/>
  <c r="F2" i="82"/>
  <c r="F1" i="66"/>
  <c r="F1" i="83"/>
  <c r="F1" i="82"/>
  <c r="F31" i="66"/>
  <c r="F6" i="77"/>
  <c r="G29" i="77" s="1"/>
  <c r="F6" i="11"/>
  <c r="G28" i="11" s="1"/>
  <c r="E23" i="76"/>
  <c r="B23" i="76" s="1"/>
  <c r="E41" i="4"/>
  <c r="D41" i="4" s="1"/>
  <c r="E38" i="66"/>
  <c r="C27" i="37"/>
  <c r="D27" i="37" s="1"/>
  <c r="D19" i="3"/>
  <c r="B53" i="76"/>
  <c r="C33" i="37" s="1"/>
  <c r="D33" i="37" s="1"/>
  <c r="C36" i="37"/>
  <c r="D36" i="37" s="1"/>
  <c r="D28" i="81"/>
  <c r="D43" i="81" s="1"/>
  <c r="E45" i="81" s="1"/>
  <c r="D26" i="3"/>
  <c r="A57" i="76"/>
  <c r="B70" i="76"/>
  <c r="C31" i="37"/>
  <c r="D31" i="37" s="1"/>
  <c r="D23" i="3"/>
  <c r="F16" i="5"/>
  <c r="E48" i="4"/>
  <c r="F48" i="4" s="1"/>
  <c r="A3" i="81"/>
  <c r="F45" i="4"/>
  <c r="C51" i="4"/>
  <c r="C52" i="4" s="1"/>
  <c r="F12" i="4"/>
  <c r="G32" i="46"/>
  <c r="F19" i="81"/>
  <c r="G19" i="81" s="1"/>
  <c r="F15" i="81"/>
  <c r="G15" i="81" s="1"/>
  <c r="D18" i="3"/>
  <c r="F18" i="81"/>
  <c r="G18" i="81" s="1"/>
  <c r="D22" i="3"/>
  <c r="F22" i="81"/>
  <c r="G22" i="81" s="1"/>
  <c r="C34" i="37"/>
  <c r="D34" i="37" s="1"/>
  <c r="D27" i="3"/>
  <c r="D20" i="3"/>
  <c r="F20" i="81"/>
  <c r="G20" i="81" s="1"/>
  <c r="D16" i="3"/>
  <c r="F16" i="81"/>
  <c r="G16" i="81" s="1"/>
  <c r="D17" i="3"/>
  <c r="F17" i="81"/>
  <c r="G17" i="81" s="1"/>
  <c r="F23" i="81"/>
  <c r="G23" i="81" s="1"/>
  <c r="F21" i="81"/>
  <c r="G21" i="81" s="1"/>
  <c r="E26" i="76"/>
  <c r="B26" i="76" s="1"/>
  <c r="F6" i="48"/>
  <c r="G30" i="48" s="1"/>
  <c r="F6" i="49"/>
  <c r="G29" i="49" s="1"/>
  <c r="B15" i="37"/>
  <c r="B4" i="79"/>
  <c r="E31" i="76"/>
  <c r="B31" i="76" s="1"/>
  <c r="C9" i="74"/>
  <c r="G32" i="34"/>
  <c r="F17" i="5"/>
  <c r="E29" i="76"/>
  <c r="B29" i="76" s="1"/>
  <c r="G35" i="33"/>
  <c r="G36" i="33"/>
  <c r="I34" i="22"/>
  <c r="G12" i="22"/>
  <c r="D21" i="70"/>
  <c r="F34" i="4"/>
  <c r="F14" i="4"/>
  <c r="F9" i="4"/>
  <c r="F7" i="4"/>
  <c r="E10" i="4"/>
  <c r="E10" i="76" s="1"/>
  <c r="B10" i="76" s="1"/>
  <c r="E6" i="4"/>
  <c r="G48" i="33"/>
  <c r="G50" i="33" s="1"/>
  <c r="G10" i="33"/>
  <c r="E24" i="76"/>
  <c r="B24" i="76" s="1"/>
  <c r="E42" i="4"/>
  <c r="D42" i="4" s="1"/>
  <c r="F9" i="5"/>
  <c r="B37" i="37"/>
  <c r="B39" i="37" s="1"/>
  <c r="F27" i="4"/>
  <c r="F32" i="4"/>
  <c r="F31" i="4"/>
  <c r="F25" i="4"/>
  <c r="E21" i="4"/>
  <c r="E12" i="76" s="1"/>
  <c r="B12" i="76" s="1"/>
  <c r="F10" i="5"/>
  <c r="F21" i="3"/>
  <c r="E18" i="4"/>
  <c r="E11" i="76" s="1"/>
  <c r="B11" i="76" s="1"/>
  <c r="E14" i="76"/>
  <c r="B14" i="76" s="1"/>
  <c r="F14" i="5"/>
  <c r="E47" i="4"/>
  <c r="D47" i="4" s="1"/>
  <c r="E28" i="76"/>
  <c r="B28" i="76" s="1"/>
  <c r="F13" i="5"/>
  <c r="F8" i="5"/>
  <c r="F19" i="4"/>
  <c r="D18" i="4"/>
  <c r="F22" i="4"/>
  <c r="D21" i="4"/>
  <c r="D9" i="74"/>
  <c r="F6" i="47"/>
  <c r="G31" i="47" s="1"/>
  <c r="E41" i="34"/>
  <c r="F7" i="5"/>
  <c r="F51" i="76"/>
  <c r="D23" i="4"/>
  <c r="F24" i="4"/>
  <c r="C35" i="37"/>
  <c r="D35" i="37" s="1"/>
  <c r="F16" i="3"/>
  <c r="C24" i="37"/>
  <c r="D24" i="37" s="1"/>
  <c r="F18" i="3"/>
  <c r="C26" i="37"/>
  <c r="D26" i="37" s="1"/>
  <c r="F8" i="4"/>
  <c r="F11" i="4"/>
  <c r="F19" i="3"/>
  <c r="F15" i="3"/>
  <c r="C23" i="37"/>
  <c r="F17" i="3"/>
  <c r="C25" i="37"/>
  <c r="D25" i="37" s="1"/>
  <c r="F44" i="4"/>
  <c r="F29" i="4"/>
  <c r="F20" i="3"/>
  <c r="C28" i="37"/>
  <c r="D28" i="37" s="1"/>
  <c r="C30" i="37"/>
  <c r="D30" i="37" s="1"/>
  <c r="F22" i="3"/>
  <c r="F39" i="4"/>
  <c r="F23" i="3"/>
  <c r="F21" i="70"/>
  <c r="C29" i="37"/>
  <c r="D29" i="37" s="1"/>
  <c r="E25" i="76"/>
  <c r="B25" i="76" s="1"/>
  <c r="F47" i="76"/>
  <c r="B59" i="76" l="1"/>
  <c r="B79" i="76" s="1"/>
  <c r="E9" i="76"/>
  <c r="B9" i="76" s="1"/>
  <c r="D40" i="4"/>
  <c r="E40" i="4"/>
  <c r="E13" i="76"/>
  <c r="F47" i="4"/>
  <c r="A3" i="4"/>
  <c r="D1" i="76" s="1"/>
  <c r="A3" i="3"/>
  <c r="F25" i="3"/>
  <c r="F25" i="81"/>
  <c r="G25" i="81" s="1"/>
  <c r="G53" i="76"/>
  <c r="C38" i="37"/>
  <c r="D38" i="37" s="1"/>
  <c r="D25" i="3"/>
  <c r="D16" i="37"/>
  <c r="D10" i="4"/>
  <c r="F10" i="4" s="1"/>
  <c r="F33" i="4"/>
  <c r="F23" i="4"/>
  <c r="C32" i="37"/>
  <c r="D32" i="37" s="1"/>
  <c r="F24" i="81"/>
  <c r="G24" i="81" s="1"/>
  <c r="G21" i="3"/>
  <c r="E57" i="76"/>
  <c r="E80" i="76" s="1"/>
  <c r="F80" i="76" s="1"/>
  <c r="F9" i="74"/>
  <c r="F15" i="4"/>
  <c r="B57" i="76"/>
  <c r="F24" i="3"/>
  <c r="G34" i="22"/>
  <c r="F18" i="4"/>
  <c r="F36" i="4"/>
  <c r="C9" i="37"/>
  <c r="D9" i="37" s="1"/>
  <c r="G31" i="66"/>
  <c r="G59" i="33"/>
  <c r="C13" i="37"/>
  <c r="D13" i="37" s="1"/>
  <c r="C10" i="37"/>
  <c r="C11" i="37"/>
  <c r="D11" i="37" s="1"/>
  <c r="E35" i="4"/>
  <c r="F21" i="4"/>
  <c r="G19" i="3"/>
  <c r="G16" i="3"/>
  <c r="F26" i="4"/>
  <c r="G22" i="3"/>
  <c r="G20" i="3"/>
  <c r="G23" i="3"/>
  <c r="F6" i="4"/>
  <c r="F38" i="4"/>
  <c r="D23" i="37"/>
  <c r="G15" i="3"/>
  <c r="G17" i="3"/>
  <c r="E35" i="76"/>
  <c r="G18" i="3"/>
  <c r="B13" i="76" l="1"/>
  <c r="C12" i="37" s="1"/>
  <c r="D12" i="37" s="1"/>
  <c r="E15" i="76"/>
  <c r="B15" i="76" s="1"/>
  <c r="C14" i="37" s="1"/>
  <c r="E51" i="4"/>
  <c r="E54" i="4" s="1"/>
  <c r="B80" i="76"/>
  <c r="F40" i="4"/>
  <c r="G25" i="3"/>
  <c r="B35" i="76"/>
  <c r="C8" i="37"/>
  <c r="D8" i="37" s="1"/>
  <c r="F41" i="4"/>
  <c r="F31" i="3"/>
  <c r="D39" i="3"/>
  <c r="F42" i="4"/>
  <c r="G24" i="3"/>
  <c r="D35" i="4"/>
  <c r="C37" i="37"/>
  <c r="D37" i="37" s="1"/>
  <c r="D10" i="37"/>
  <c r="F13" i="76"/>
  <c r="E52" i="4" l="1"/>
  <c r="E16" i="76"/>
  <c r="E36" i="76" s="1"/>
  <c r="F15" i="76"/>
  <c r="D51" i="4"/>
  <c r="D52" i="4" s="1"/>
  <c r="D54" i="4" s="1"/>
  <c r="D56" i="4" s="1"/>
  <c r="H12" i="37"/>
  <c r="B16" i="76"/>
  <c r="B36" i="76" s="1"/>
  <c r="F35" i="4"/>
  <c r="C39" i="37"/>
  <c r="D39" i="37" s="1"/>
  <c r="D14" i="37"/>
  <c r="C15" i="37"/>
  <c r="C17" i="37" s="1"/>
  <c r="F35" i="76" l="1"/>
  <c r="E81" i="76"/>
  <c r="E84" i="76" s="1"/>
  <c r="E87" i="76" s="1"/>
  <c r="E31" i="3"/>
  <c r="G31" i="3" s="1"/>
  <c r="B81" i="76"/>
  <c r="F51" i="4"/>
  <c r="D15" i="37"/>
  <c r="C40" i="37"/>
  <c r="B84" i="76" l="1"/>
  <c r="F84" i="76" s="1"/>
  <c r="E39" i="3"/>
  <c r="E41" i="3" s="1"/>
  <c r="F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user:รวมค่าปรับ 417 บาท
</t>
        </r>
      </text>
    </comment>
    <comment ref="C1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7" authorId="0" shapeId="0" xr:uid="{DA368E08-A5AD-4572-A0D1-5F3AE87E07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นำรายได้ของเดือนที่แล้วมาบอกเพิ่ม(เฉพาะตัวที่มีรับเงินในเดือนก่อนหน้า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273C7E11-5E37-4F05-B67E-306D62F5DF2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มาจากยอดเงินฝากธนาคารของเดือนที่แล้ว+เงินสดในมือถ้ามี</t>
        </r>
      </text>
    </comment>
    <comment ref="B9" authorId="0" shapeId="0" xr:uid="{B07434D9-4247-4DB2-881F-151E31BFC6C0}">
      <text>
        <r>
          <rPr>
            <b/>
            <sz val="9"/>
            <color indexed="81"/>
            <rFont val="Tahoma"/>
            <family val="2"/>
          </rPr>
          <t>User
นำยอดเดือนที่แล้วมาบวกเพิ่ม</t>
        </r>
      </text>
    </comment>
    <comment ref="C8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เพิ่มยอด 300 ที่หักซ้ำ
</t>
        </r>
      </text>
    </comment>
    <comment ref="D30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ในใบผ่านไม่มีไม่ต้องใส่</t>
        </r>
      </text>
    </comment>
    <comment ref="E32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รวมเงินรับฝากทุกตัว
รวมเงินกู้ กยศ.ด้วย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บวกปรับ ล/น ภาษ๊บำรุงท้องที่ปีที่ผ่านมา กับปี2561
เป็นรายรับ</t>
        </r>
      </text>
    </comment>
  </commentList>
</comments>
</file>

<file path=xl/sharedStrings.xml><?xml version="1.0" encoding="utf-8"?>
<sst xmlns="http://schemas.openxmlformats.org/spreadsheetml/2006/main" count="1006" uniqueCount="479">
  <si>
    <t>องค์การบริหารส่วนตำบลสมสนุก</t>
  </si>
  <si>
    <t>รายงานรับ - จ่ายเงินสด</t>
  </si>
  <si>
    <t>จนถึงปัจจุบัน</t>
  </si>
  <si>
    <t>ประมาณการ</t>
  </si>
  <si>
    <t>(บาท)</t>
  </si>
  <si>
    <t>เกิดขึ้นจริง</t>
  </si>
  <si>
    <t>รายการ</t>
  </si>
  <si>
    <t>รหัสบัญชี</t>
  </si>
  <si>
    <t>เดือนนี้</t>
  </si>
  <si>
    <t>ยอดยกมา</t>
  </si>
  <si>
    <t>ภาษีอากร</t>
  </si>
  <si>
    <t>ค่าธรรมเนียม ค่าปรับและใบอนุญาต</t>
  </si>
  <si>
    <t>รายได้จากทรัพยสิน</t>
  </si>
  <si>
    <t>รายได้จากสาธารณูปโภคและการพาณิชย์</t>
  </si>
  <si>
    <t>รายได้เบ็ดเตล็ด</t>
  </si>
  <si>
    <t>ภาษีจัดสรร</t>
  </si>
  <si>
    <t>เงินอุดหนุน</t>
  </si>
  <si>
    <t>0100</t>
  </si>
  <si>
    <t>0120</t>
  </si>
  <si>
    <t>0200</t>
  </si>
  <si>
    <t>0250</t>
  </si>
  <si>
    <t>0300</t>
  </si>
  <si>
    <t>1000</t>
  </si>
  <si>
    <t>2000</t>
  </si>
  <si>
    <t>รายจ่าย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</si>
  <si>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</si>
  <si>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</si>
  <si>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</si>
  <si>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</si>
  <si>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</si>
  <si>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</si>
  <si>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</si>
  <si>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เงินสะสม</t>
  </si>
  <si>
    <t>รวมรายจ่าย</t>
  </si>
  <si>
    <t>สูงกว่า</t>
  </si>
  <si>
    <t>ยอดยกไป</t>
  </si>
  <si>
    <t>รายรับ</t>
  </si>
  <si>
    <t>รวม</t>
  </si>
  <si>
    <t>เงินทุนสำรองเงินสะสม</t>
  </si>
  <si>
    <t>รายได้จัดเก็บเอง</t>
  </si>
  <si>
    <t>รวมทั้งสิ้น</t>
  </si>
  <si>
    <t>เงินอุดหนุนทั่วไป</t>
  </si>
  <si>
    <t>รับ</t>
  </si>
  <si>
    <t>จ่าย</t>
  </si>
  <si>
    <t>คงเหลือ</t>
  </si>
  <si>
    <t>ภาษีหัก ณ ที่จ่าย</t>
  </si>
  <si>
    <t>เงินมัดจำประกันสัญญา</t>
  </si>
  <si>
    <t>ค่าใช้จ่าย 5%</t>
  </si>
  <si>
    <t>ส่วนลด 6%</t>
  </si>
  <si>
    <t>ยอกยกมา</t>
  </si>
  <si>
    <t>งบกระทบยอดเงินฝากธนาคาร</t>
  </si>
  <si>
    <t>ธนาคาร</t>
  </si>
  <si>
    <t>เลขที่บัญชี</t>
  </si>
  <si>
    <t>บวก : เงินฝากระหว่างทาง</t>
  </si>
  <si>
    <t>วันที่ลงบัญชี</t>
  </si>
  <si>
    <t>วันที่ฝากธนาคาร</t>
  </si>
  <si>
    <t>จำนวนเงิน</t>
  </si>
  <si>
    <t>หัก : เซ็คที่ผู้รับยังไม่นำมาขึ้นเงินกับธนาคาร</t>
  </si>
  <si>
    <t>วันที่</t>
  </si>
  <si>
    <t>เลขที่เช็ค</t>
  </si>
  <si>
    <t>บวก หรือ หัก : รายการกระทบอื่น ๆ</t>
  </si>
  <si>
    <t>รายละเอียด</t>
  </si>
  <si>
    <t>บาท</t>
  </si>
  <si>
    <t>ผู้จัดทำ</t>
  </si>
  <si>
    <t>ผู้ตรวจสอบ</t>
  </si>
  <si>
    <t>(ลงชื่อ) ..............................................................................</t>
  </si>
  <si>
    <t>(นายสงกรานต์  อัครวิจิตร)</t>
  </si>
  <si>
    <t xml:space="preserve">     กรุงไทย</t>
  </si>
  <si>
    <t>ค่าพาหนะ</t>
  </si>
  <si>
    <t>เงินทุนการศึกษาศูนย์ฯ</t>
  </si>
  <si>
    <t>รับจริงแต่ต้นปี</t>
  </si>
  <si>
    <t>รับเดือนนี้</t>
  </si>
  <si>
    <t>(ต่ำกว่า)</t>
  </si>
  <si>
    <t>รายจ่ายค้างจ่าย</t>
  </si>
  <si>
    <t>เดบิต</t>
  </si>
  <si>
    <t>เครติด</t>
  </si>
  <si>
    <t>เงินฝากธนาคาร ออมสิน -ออมทรัพย์ 05424050559-1</t>
  </si>
  <si>
    <t>เงินสด</t>
  </si>
  <si>
    <t>ลูกหนี้-ภาษีบำรุงท้องที่</t>
  </si>
  <si>
    <t>รายจ่ายอื่น</t>
  </si>
  <si>
    <t>ลูกหนี้เงินยืม-เงินสะสม</t>
  </si>
  <si>
    <t>ลูกหนี้เงินยืม-งบประมาณ</t>
  </si>
  <si>
    <t>งบทดลอง</t>
  </si>
  <si>
    <t>รายจ่ายรอจ่าย</t>
  </si>
  <si>
    <t>เงินเดือนฝ่ายประจำ</t>
  </si>
  <si>
    <t>เงินเดือนฝ่ายการเมือง</t>
  </si>
  <si>
    <t>ที่ บก ๘๐๒๐๒ /</t>
  </si>
  <si>
    <t xml:space="preserve">สิ่งที่ส่งมาด้วย  </t>
  </si>
  <si>
    <t>จำนวน</t>
  </si>
  <si>
    <t>ชุด</t>
  </si>
  <si>
    <t xml:space="preserve">      ที่ทำการองค์การบริหารส่วนตำบลสมสนุก</t>
  </si>
  <si>
    <t>ขอแสดงความนับถือ</t>
  </si>
  <si>
    <t xml:space="preserve">      ๙๕  หมู่ ๔ ตำบลสมสนุก  อำเภอปากคาด</t>
  </si>
  <si>
    <t xml:space="preserve">      จังหวัดบึงกาฬ   ๓๘๑๙๐</t>
  </si>
  <si>
    <t>องค์การบริหารส่วนตำบลสมสนุก อำเภอปากคาด จังหวัดบึงกาฬ</t>
  </si>
  <si>
    <t>เดบิท</t>
  </si>
  <si>
    <t>เครดิต</t>
  </si>
  <si>
    <t>เงินรายรับ</t>
  </si>
  <si>
    <t>เงินประกันสัญญา</t>
  </si>
  <si>
    <t>ภาษีบำรุงท้องที่</t>
  </si>
  <si>
    <t>ค่าปรับผิดสัญญา</t>
  </si>
  <si>
    <t>ภาษีโรงเรือนและที่ดิน</t>
  </si>
  <si>
    <t>ภาษีป้าย</t>
  </si>
  <si>
    <t>ภาษีสรรพสามิต</t>
  </si>
  <si>
    <t>ค่าภาคหลวงแร่</t>
  </si>
  <si>
    <t>เลขที่</t>
  </si>
  <si>
    <t>ใบผ่านรายการบัญชีมาตรฐาน 1</t>
  </si>
  <si>
    <t>ฝ่าย.......................................................</t>
  </si>
  <si>
    <t>คำอธิบาย</t>
  </si>
  <si>
    <t>ผู้อนุมัติ</t>
  </si>
  <si>
    <t>ผู้บันทึกบัญชี</t>
  </si>
  <si>
    <t>ใบผ่านรายการบัญชีทั่วไป</t>
  </si>
  <si>
    <t>เพื่อผ่านรายการไปยังบัญชีแยกประเภท</t>
  </si>
  <si>
    <t>จ่ายขาดเงินสะสม</t>
  </si>
  <si>
    <t>งานการเงินและบัญชี</t>
  </si>
  <si>
    <t>๑. งบทดลอง</t>
  </si>
  <si>
    <t>๒. รายงานรับ-จ่ายเงินสด</t>
  </si>
  <si>
    <t>๓. รายรับจริงประกอบงบทดลอง</t>
  </si>
  <si>
    <t>เงินฝากธนาคาร ธกส.    -ออมทรัพย์ 552-2-55731-1</t>
  </si>
  <si>
    <t>เงินฝากธนาคาร ธกส.    -ออมทรัพย์ 552-2-57099-1</t>
  </si>
  <si>
    <t xml:space="preserve">เรื่อง  </t>
  </si>
  <si>
    <t xml:space="preserve">เรียน  </t>
  </si>
  <si>
    <t>ด้วยองค์การบริหารส่วนตำบลสมสนุก  อำเภอปากคาด  จังหวัดบึงกาฬ ขอส่งรายงานทางการเงิน</t>
  </si>
  <si>
    <t xml:space="preserve">         </t>
  </si>
  <si>
    <t>จึงเรียนมาเพื่อโปรดทราบ</t>
  </si>
  <si>
    <t>เงินยืม-งบประมาณ</t>
  </si>
  <si>
    <t>เงินยืม-เงินสะสม</t>
  </si>
  <si>
    <t>ลูกหนี้-เงินยืมงบประมาณ</t>
  </si>
  <si>
    <t>เงินขาดบัญชี</t>
  </si>
  <si>
    <t>เงินสนับสนุนโครงการพัฒนาครอบครัว</t>
  </si>
  <si>
    <t>เงินโครงการเศรษฐกิจชุมชน</t>
  </si>
  <si>
    <t>1. หมวดภาษีอากร</t>
  </si>
  <si>
    <t xml:space="preserve">   1.1 ภาษีโรงเรือนและที่ดิน</t>
  </si>
  <si>
    <t xml:space="preserve">   1.2 ภาษีบำรุงท้องที่</t>
  </si>
  <si>
    <t xml:space="preserve">   1.3 ภาษีป้าย</t>
  </si>
  <si>
    <t>2. หมวดค่าธรรมเนียมค่าปรับและใบอนุญาต</t>
  </si>
  <si>
    <t xml:space="preserve">   2.1 ค่าธรรมเนียมเก็บและขนขยะมูลฝอย</t>
  </si>
  <si>
    <t>3. หมวดรายได้จากทรัพย์สิน</t>
  </si>
  <si>
    <t xml:space="preserve">   3.1 ดอกเบี้ยเงินฝากธนาคาร</t>
  </si>
  <si>
    <t>4. หมวดรายได้จากสาธารณูปโภคและการพาณิชย์</t>
  </si>
  <si>
    <t xml:space="preserve">   4.1 รายได้จากสาธารณูปโภคและการพาณิชย์</t>
  </si>
  <si>
    <t>5. หมวดรายได้เบ็ดเตล็ด</t>
  </si>
  <si>
    <t xml:space="preserve">   5.1 ค่าขายแบบแปลน</t>
  </si>
  <si>
    <t xml:space="preserve">   5.2 รายได้เบ็ดเตล็ด</t>
  </si>
  <si>
    <t>6. หมวดภาษีจัดสรร</t>
  </si>
  <si>
    <t xml:space="preserve">   6.5 ภาษีสรรพสามิต</t>
  </si>
  <si>
    <t xml:space="preserve">   6.6 ค่าภาคหลวงแร่</t>
  </si>
  <si>
    <t>ประมาณการ รับปี 2556</t>
  </si>
  <si>
    <t xml:space="preserve">บันทึกจากสมุดเงินสดรับประจำเดือน </t>
  </si>
  <si>
    <t>...............................................................</t>
  </si>
  <si>
    <t>นายกองค์การบริหารส่วนตำบลสมสนุก</t>
  </si>
  <si>
    <t>เงินฝากธนาคาร ธกส. 00552-5-00102-0</t>
  </si>
  <si>
    <t>เงินฝากธนาคาร ออมสิน 1-4240016160-1</t>
  </si>
  <si>
    <t xml:space="preserve">บันทึกจากสมุดเงินสดจ่ายประจำเดือน </t>
  </si>
  <si>
    <t xml:space="preserve">บันทึกจากทะเบียนเงินรายรับประจำเดือน </t>
  </si>
  <si>
    <t xml:space="preserve">บันทึกรายการปรับปรุงบัญชีประจำเดือน </t>
  </si>
  <si>
    <t>ใบผ่านรายการบัญชีมาตรฐาน 3</t>
  </si>
  <si>
    <t>ใบผ่านรายการบัญชีมาตรฐาน 2</t>
  </si>
  <si>
    <t>องค์การบริหารส่วนตำบลสมสนุก  อำเภอปากคาด  จังหวัดบึงกาฬ</t>
  </si>
  <si>
    <t>รายรับจริง</t>
  </si>
  <si>
    <t xml:space="preserve">           สูงกว่า</t>
  </si>
  <si>
    <t>รายรับตามประมาณการ</t>
  </si>
  <si>
    <t>รายได้จากทรัพย์สิน</t>
  </si>
  <si>
    <t>รวมเงินตามประมาณการรายรับทั้งสิ้น</t>
  </si>
  <si>
    <t>เงินอุดหนุนที่รัฐบาลให้โดยระบุวัตถุประสงค์</t>
  </si>
  <si>
    <t>รวมรายรับทั้งสิ้น</t>
  </si>
  <si>
    <t>รายจ่ายจริง</t>
  </si>
  <si>
    <t>ประมาณการรายจ่ายตามงบประมาณ</t>
  </si>
  <si>
    <t>รายจ่ายที่จ่ายจากเงินอุดหนุนที่รัฐบาลระบุวัตถุประสงค์</t>
  </si>
  <si>
    <t>รวมรายจ่ายทั้งสิ้น</t>
  </si>
  <si>
    <t>รายรับจริงสูงกว่ารายจ่ายจริง</t>
  </si>
  <si>
    <t>รายละเอียดเงินรับฝากต่าง ๆ</t>
  </si>
  <si>
    <t>หมายเหตุ 1</t>
  </si>
  <si>
    <t>หมายเหตุ</t>
  </si>
  <si>
    <t xml:space="preserve">บัญชีรายรับ </t>
  </si>
  <si>
    <t>เงินรับฝาก (หมายเหตุ 1 )</t>
  </si>
  <si>
    <t>รายจ่ายค้างจ่าย (หมายเหตุ 3)</t>
  </si>
  <si>
    <t>เงินอุดหนุนเฉพาะกิจ (หมายเหตุ 4)</t>
  </si>
  <si>
    <t>เงินช่วยเหลือการศึกษาบุตร</t>
  </si>
  <si>
    <t>เงินฝากธนาคาร ธกส. 00552-5-00005-8</t>
  </si>
  <si>
    <t>เงินฝากประจำ ออมสิน  3-0001025263-7</t>
  </si>
  <si>
    <t>8. หมวดเงินอุดหนุนเฉพาะกิจ</t>
  </si>
  <si>
    <t>9. เงินรับฝาก</t>
  </si>
  <si>
    <t xml:space="preserve">   9.1 ภาษีหัก ณ ที่จ่าย</t>
  </si>
  <si>
    <t xml:space="preserve">   9.2 เงินมัดจำประกันสัญญา</t>
  </si>
  <si>
    <t xml:space="preserve">   9.3 ค่าใช้จ่าย 5%</t>
  </si>
  <si>
    <t xml:space="preserve">   9.4 ส่วนลด 6%</t>
  </si>
  <si>
    <t xml:space="preserve">   9.5 เงินโครงการเศรษฐกิจชุมชน</t>
  </si>
  <si>
    <t>รายได้ไม่รวมเงินอุดหนุนเฉพาะกิจและเงินรับฝาก</t>
  </si>
  <si>
    <t>ลำดับที่</t>
  </si>
  <si>
    <t>ประเภท</t>
  </si>
  <si>
    <t>วันที่ขึ้นเงิน</t>
  </si>
  <si>
    <t>447-6-00455-5</t>
  </si>
  <si>
    <t>ธกส. ปากคาด</t>
  </si>
  <si>
    <t>01-552-2-55731-1</t>
  </si>
  <si>
    <t>01-552-2-57099-1</t>
  </si>
  <si>
    <t>01-552-2-58578-2</t>
  </si>
  <si>
    <t>ออมสิน ปากคาด</t>
  </si>
  <si>
    <t>05424050559-1</t>
  </si>
  <si>
    <t>๔. หมายเหตุประกอบงบการเงิน</t>
  </si>
  <si>
    <t>รายรับ                                      รายจ่าย</t>
  </si>
  <si>
    <t>เงินฝากธนาคาร ธกส. 01552-2-55731-1</t>
  </si>
  <si>
    <t>เงินฝากธนาคาร ธกส. 01552-2-58578-2</t>
  </si>
  <si>
    <t>เงินฝากธนาคาร ธกส. 01552-2-57099-1</t>
  </si>
  <si>
    <t>เงินฝากธนาคาร ออมสิน 05424050559-1</t>
  </si>
  <si>
    <t>คลังจังหวัดบึงกาฬ</t>
  </si>
  <si>
    <t>เศรษฐกิจชุมชน</t>
  </si>
  <si>
    <t>องค์การบริหารส่วนตำบลสมสนุก อำเภอปากคาด  จังหวัดบึงกาฬ</t>
  </si>
  <si>
    <t>ค่ารักษาพยาบาล(สวัสดิการครู)</t>
  </si>
  <si>
    <t>ค่าจ้างประจำ</t>
  </si>
  <si>
    <t>ค่าจ้างชั่วคราว</t>
  </si>
  <si>
    <t>เงินประกันสังคม</t>
  </si>
  <si>
    <t>ทุนสำรองเงินสะสม</t>
  </si>
  <si>
    <t>รับฝากหมายเหตุ - เงินประกันสังคม</t>
  </si>
  <si>
    <t>จ่ายขาดทุนสำรองเงินสะสม</t>
  </si>
  <si>
    <t>เงินรับฝากประกันสังคม</t>
  </si>
  <si>
    <t>ลูกหนี้-เงินยืมเงินสะสม</t>
  </si>
  <si>
    <t>นายอำเภอปากคาด</t>
  </si>
  <si>
    <t xml:space="preserve">   9.7 ประกันสังคมหักจากผู้ประกันตน</t>
  </si>
  <si>
    <t>โอนเพิ่ม</t>
  </si>
  <si>
    <t xml:space="preserve"> </t>
  </si>
  <si>
    <t>เงินฝากประจำ  ออมสิน-300010252637</t>
  </si>
  <si>
    <t>เงินฝากธนาคาร ธกส.    -ออมทรัพย์ 552-2-58578-2</t>
  </si>
  <si>
    <t>ค่ารักษาพยาบาลจาก สปสช</t>
  </si>
  <si>
    <t>ผลัดส่งใบสำคัญ (หมายเหตุ 2)</t>
  </si>
  <si>
    <t>ทั่วไป</t>
  </si>
  <si>
    <t>ออมสิน</t>
  </si>
  <si>
    <t>กรุงไทย</t>
  </si>
  <si>
    <t>รวมรายจ่ายตามประมาณการรายจ่ายทั้งสิ้น</t>
  </si>
  <si>
    <t>ภาษีธุรกิจเฉพาะ</t>
  </si>
  <si>
    <t xml:space="preserve">   9.6 ค่ารักษาพยาบาล สปสช</t>
  </si>
  <si>
    <t xml:space="preserve">เงินฝากธนาคาร กรุงไทย -กระแสรายวัน 447-6-00455-5 </t>
  </si>
  <si>
    <t xml:space="preserve">เงินฝากธนาคาร กรุงไทย 447-6-00455-5 </t>
  </si>
  <si>
    <t xml:space="preserve">เงินฝากธนาคาร ธกส. 00552-5-00063-4  </t>
  </si>
  <si>
    <t>เงินเกินบัญชี</t>
  </si>
  <si>
    <t>แบบพิสูจน์ยอดเงินฝากธนาคาร</t>
  </si>
  <si>
    <t>ชื่อบัญชี</t>
  </si>
  <si>
    <t>ยอดเงินฝากธนาคาร</t>
  </si>
  <si>
    <t>ตามบัญชี</t>
  </si>
  <si>
    <t>ผลต่าง</t>
  </si>
  <si>
    <t>ยอดตามบัญชีสูง (ต่ำ) กว่า</t>
  </si>
  <si>
    <t>ยอดหนังสือรับรองธนาคาร</t>
  </si>
  <si>
    <t>ตามหนังสือ</t>
  </si>
  <si>
    <t>รับรองยอดธนาคาร</t>
  </si>
  <si>
    <t>รวมเป็นเงินทั้งสิ้น</t>
  </si>
  <si>
    <t>ออมสิน สาขาปากคาด</t>
  </si>
  <si>
    <t>เผื่อเรียก</t>
  </si>
  <si>
    <t>เผื่อเรียกพิเศษ 11 เดือน</t>
  </si>
  <si>
    <t>ประจำ 12 เดือน</t>
  </si>
  <si>
    <t>กระแสรายวัน</t>
  </si>
  <si>
    <t>กรุงไทย สาขาบึงกาฬ</t>
  </si>
  <si>
    <t>ธ.ก.ส. สาขาปากคาด</t>
  </si>
  <si>
    <t>ออมทรัพย์</t>
  </si>
  <si>
    <t>542405005591</t>
  </si>
  <si>
    <t>300014671600</t>
  </si>
  <si>
    <t>300010252637</t>
  </si>
  <si>
    <t>001424001616</t>
  </si>
  <si>
    <t>005525000935</t>
  </si>
  <si>
    <t>005525000634</t>
  </si>
  <si>
    <t>005525001020</t>
  </si>
  <si>
    <t>015522557311</t>
  </si>
  <si>
    <t>015522585782</t>
  </si>
  <si>
    <t>015522570991</t>
  </si>
  <si>
    <t xml:space="preserve">รายจ่ายค้างจ่าย  </t>
  </si>
  <si>
    <t>หมวด/ประเภท</t>
  </si>
  <si>
    <t>จำนวนเงินที่ได้รับอนุมัติ</t>
  </si>
  <si>
    <t>ก่อหนี้ผูกพัน</t>
  </si>
  <si>
    <t>เบิกจ่ายแล้ว</t>
  </si>
  <si>
    <t>หมายเหตุ 6</t>
  </si>
  <si>
    <t>รายงานรายจ่ายที่ได้รับอนุมัติให้จ่ายจากเงินสะสม</t>
  </si>
  <si>
    <t>วันที่ได้รับอนุมัติ</t>
  </si>
  <si>
    <t>หมวด / ประเภท</t>
  </si>
  <si>
    <t>ยังไม่ได้ก่อหนี้</t>
  </si>
  <si>
    <t>จ่ายขาด</t>
  </si>
  <si>
    <t>ยืมเงินสะสม</t>
  </si>
  <si>
    <t>รับฝากหมายเหตุ - เงินกู้ ธกส.</t>
  </si>
  <si>
    <t>รับฝากหมายเหตุ - เงินกู้ธนาคารกรุงไทย</t>
  </si>
  <si>
    <t>รับฝากหมายเหตุ - เงินกู้ออมสิน</t>
  </si>
  <si>
    <t>เงินกู้ ธกส.</t>
  </si>
  <si>
    <t>เงินกู้ธนาคารกรุงไทย</t>
  </si>
  <si>
    <t>เงินกู้ออมสิน</t>
  </si>
  <si>
    <t>ค่ารักษาพยาบาล (สปสช)</t>
  </si>
  <si>
    <t>ค่าปรับผิดสัญญารอจ่ายคืนกรมฯ</t>
  </si>
  <si>
    <t>เงินสะสมยกมา</t>
  </si>
  <si>
    <t xml:space="preserve">   6.7 ค่าภาคหลวงปิโตรเลียม</t>
  </si>
  <si>
    <t xml:space="preserve">   6.8 ภาษีจัดสรรอื่น ๆ</t>
  </si>
  <si>
    <t>เงินรับฝาก-เศรษฐกิจชุมชน (ด/บ เงินฝาก)</t>
  </si>
  <si>
    <t>เงินอุดหนุนตามอำนาจหน้าที่</t>
  </si>
  <si>
    <t>ค่าปรับค่าควบคุมงาน</t>
  </si>
  <si>
    <t>ผู้อำนวยการกองคลัง</t>
  </si>
  <si>
    <t>กองคลัง</t>
  </si>
  <si>
    <t>เงินฝากธนาคารกรุงไทย  447-0-42039-5</t>
  </si>
  <si>
    <t>447-0-42039-5</t>
  </si>
  <si>
    <t xml:space="preserve">   9.8 ค่าปรับผิดสัญญา</t>
  </si>
  <si>
    <t>ส่งคืนคลัง (เงินสะสม)</t>
  </si>
  <si>
    <t>เงินเบิกเกินส่งคืน</t>
  </si>
  <si>
    <t>เงินรับฝาก (หมายเหตุ 1)</t>
  </si>
  <si>
    <t>เงินอุดหนุนเฉพาะกิจระบุวัตถุประสงค์ (หมายเหตุ 4)</t>
  </si>
  <si>
    <t>090</t>
  </si>
  <si>
    <t>082</t>
  </si>
  <si>
    <t>704</t>
  </si>
  <si>
    <t>700</t>
  </si>
  <si>
    <t>900</t>
  </si>
  <si>
    <t>600</t>
  </si>
  <si>
    <t>รายจ่ายรอจ่าย (หมายเหตุ 5)</t>
  </si>
  <si>
    <t>รวมรายรับ</t>
  </si>
  <si>
    <t>5120</t>
  </si>
  <si>
    <t>5000</t>
  </si>
  <si>
    <t>5100</t>
  </si>
  <si>
    <t>5130</t>
  </si>
  <si>
    <t>5200</t>
  </si>
  <si>
    <t>5250</t>
  </si>
  <si>
    <t>6270</t>
  </si>
  <si>
    <t>5300</t>
  </si>
  <si>
    <t>5450</t>
  </si>
  <si>
    <t>6500</t>
  </si>
  <si>
    <t>5400</t>
  </si>
  <si>
    <t>5550</t>
  </si>
  <si>
    <t>602</t>
  </si>
  <si>
    <t>โทร. ๐ ๔๒๔๙ ๐๘๑๒</t>
  </si>
  <si>
    <t>ลูกหนี้-โครงการเศรษฐกิจชุมชน</t>
  </si>
  <si>
    <t>30001-0-25263-7</t>
  </si>
  <si>
    <t>- ภาษีหัก ณ ที่จ่าย</t>
  </si>
  <si>
    <t>- เงินมัดจำประกันสัญญา</t>
  </si>
  <si>
    <t>- ค่าใช้จ่าย 5%</t>
  </si>
  <si>
    <t>- ส่วนลด 6%</t>
  </si>
  <si>
    <t>- เงินโครงการเศรษฐกิจชุมชน</t>
  </si>
  <si>
    <t>- เงินประกันสังคม</t>
  </si>
  <si>
    <t>- เงินค่ารักษาพยาบาล (สปสช.)</t>
  </si>
  <si>
    <t>- ค่าปรับค่าควบคุมงาน</t>
  </si>
  <si>
    <t>ค่าธรรมเนียมถอนการยึดอายัติทรัพย์สินฯ</t>
  </si>
  <si>
    <t>รับคืนเงินจากประกันสังคม</t>
  </si>
  <si>
    <t>เงินค่าธรรมเนียมถอนการยึดอายัติทรัพย์ฯ</t>
  </si>
  <si>
    <t>- ค่าธรรมเนียมถอนการยึดอายัติทรัพย์ฯ</t>
  </si>
  <si>
    <t>ค่ารักษาพยาบาล(สปสช.)</t>
  </si>
  <si>
    <t>ค่าภาคหลวงปิโตรเลียม</t>
  </si>
  <si>
    <t>เงินสนับสนุนที่พักอาศัยคนพิการ</t>
  </si>
  <si>
    <t>ลูกหนี้เงินยืม-เงินทุนเศษฐกิจชุมชน</t>
  </si>
  <si>
    <t>เบิกเกินส่งคืน</t>
  </si>
  <si>
    <t>ไม่ก่อหนี้ผูกพัน</t>
  </si>
  <si>
    <t xml:space="preserve">รายจ่ายรอจ่าย  </t>
  </si>
  <si>
    <t>หมายเหตุ 5</t>
  </si>
  <si>
    <t>รวมเงินทุกบัญชี</t>
  </si>
  <si>
    <t>ให้บวกรายการเงินส่งใช้เพิ่มเข้าไป</t>
  </si>
  <si>
    <t>เฉพาะเดือนปัจจุบัน</t>
  </si>
  <si>
    <t>B7  = เกิดขึ้นจริงปัจจุบัน</t>
  </si>
  <si>
    <t>เงินฝากธนาคาร  + เงินสด (ในงบทดลองหลังปิดบัญชี ของเดือนที่แล้ว)</t>
  </si>
  <si>
    <t>รายรับจริงประกอบงบทดลองและรายงานรับ-จ่ายเงินสดประจำปีงบประมาณ 2562</t>
  </si>
  <si>
    <t>เศรษฐกิจชุมชน ถ้ารับเงินให้นำมาลบออก</t>
  </si>
  <si>
    <t xml:space="preserve">                  ถ้าจ่ายเงินให้นำมาบวกเพิ่ม</t>
  </si>
  <si>
    <t xml:space="preserve">   9.10 ค่าธรรมเนียมถอนการยึดอายัติทรัพย์สินฯ</t>
  </si>
  <si>
    <t>เงินอุดหนุนเฉพาะกิจ</t>
  </si>
  <si>
    <t>รวมทุกบัญชี</t>
  </si>
  <si>
    <t>กำนัน/ผู้ใหญ่บ้าน หมู่.......................................................................</t>
  </si>
  <si>
    <t>(นายศักดิ์ชัย  มารมย์)</t>
  </si>
  <si>
    <r>
      <t>รายรับ</t>
    </r>
    <r>
      <rPr>
        <sz val="16"/>
        <rFont val="Angsana New"/>
        <family val="1"/>
      </rPr>
      <t xml:space="preserve"> (หมายเหตุ 1)</t>
    </r>
  </si>
  <si>
    <t>เงินกู้ กยศ.</t>
  </si>
  <si>
    <t>รายจ่ายค้างจ่าย (ค่าที่ดินและสิ่งก่อสร้าง) หมายเหตุ 3</t>
  </si>
  <si>
    <t>โครงการต่อเติมศาลาประชาคม หมู่ 2</t>
  </si>
  <si>
    <t>โครงการซ่อมแซมหอถังสูงระบบประปา หมู่ 5</t>
  </si>
  <si>
    <t>โครงการซ่อมแซมรางระบายน้ำ หมู่ 1</t>
  </si>
  <si>
    <t>โครงการก่อสร้างรางระบายน้ำ หมู่ 6</t>
  </si>
  <si>
    <r>
      <t xml:space="preserve">รับจริง </t>
    </r>
    <r>
      <rPr>
        <b/>
        <sz val="10"/>
        <color indexed="10"/>
        <rFont val="TH SarabunPSK"/>
        <family val="2"/>
      </rPr>
      <t>- ต่ำกว่า</t>
    </r>
  </si>
  <si>
    <r>
      <t xml:space="preserve">จ่ายจริง </t>
    </r>
    <r>
      <rPr>
        <b/>
        <sz val="10"/>
        <color indexed="10"/>
        <rFont val="TH SarabunPSK"/>
        <family val="2"/>
      </rPr>
      <t>- ต่ำกว่า</t>
    </r>
  </si>
  <si>
    <t>รายจ่ายค้างจ่าย (ค่าที่ดินและสิ่งก่อสร้าง)</t>
  </si>
  <si>
    <t>ค่าจัดซื้อรถพยาบาลุกเฉิน (รถกระบะ)</t>
  </si>
  <si>
    <t>โครงการก่อสร้างถนนลาดยางแอสฟันท์ติก ถนน คสล.สายแยกบ้านสมสนุก-นาขาม</t>
  </si>
  <si>
    <t>โครงการก่อสร้างรางระบายน้ำ คสล.พร้อมฝาปิด ม.5</t>
  </si>
  <si>
    <t>โครงการก่อสร้างรางระบายน้ำ คสล.พร้อมฝาปิด ม.6</t>
  </si>
  <si>
    <t>ค่าจัดซื้อเครื่องกรองน้ำระบบประปาหมู่บ้าน ม.1</t>
  </si>
  <si>
    <t>โครงการปรับปรุงซ่อมแซมางระบายน้ำ ม.7</t>
  </si>
  <si>
    <t>โครงการซ่อมแซมรางระบายน้ำ คสล.หมู่ 1</t>
  </si>
  <si>
    <t>โครงการซ่อมแซมรางระบายน้ำ คสล.พร้อมฝาปิด ม.2</t>
  </si>
  <si>
    <t>โครงการปรับปรุงซ่อมแซมรางระบายน้ำ  ม.4</t>
  </si>
  <si>
    <t>รายจ่ายค้างจ่าย (ค่าครุภัณฑ์)</t>
  </si>
  <si>
    <t>ถ้าเป็นเงินยืม..แล้วจ่ายเป็นค่าใช้สอย และส่งใช้แล้วไม่ต้องไปเพิ่มลูกหนี้เงินยืมอีกเพราะจะทำให้ยอดค่าใช้สอยเพิ่มขึ้นอีก</t>
  </si>
  <si>
    <t>14240016160-1</t>
  </si>
  <si>
    <t>01552-2-55731-1</t>
  </si>
  <si>
    <t>หมายเหตุ 2</t>
  </si>
  <si>
    <t>หมายเหตุ  4</t>
  </si>
  <si>
    <t>00552-5-00005-8</t>
  </si>
  <si>
    <t xml:space="preserve">รายจ่ายค้างจ่าย (หมายเหตุ 3) </t>
  </si>
  <si>
    <t>คงเหลือเบิกจ่าย ปี 2563</t>
  </si>
  <si>
    <t>41100000</t>
  </si>
  <si>
    <t>41100001</t>
  </si>
  <si>
    <t>41100002</t>
  </si>
  <si>
    <t>41100003</t>
  </si>
  <si>
    <t>41200000</t>
  </si>
  <si>
    <t>41210008</t>
  </si>
  <si>
    <t xml:space="preserve">   2.2 ค่าธรรมเนียมเกี่ยวกับทะเบียนพาณิชย์</t>
  </si>
  <si>
    <t>41210029</t>
  </si>
  <si>
    <t xml:space="preserve">   2.3 ค่าธรรมเนียมกำจัดขยะมูลฝอย</t>
  </si>
  <si>
    <t>41210030</t>
  </si>
  <si>
    <t xml:space="preserve">   2.4 ค่าธรรมเนียมอื่นๆ</t>
  </si>
  <si>
    <t>41219999</t>
  </si>
  <si>
    <t xml:space="preserve">   2.5 ค่าปรับผิดสัญญา</t>
  </si>
  <si>
    <t>41220010</t>
  </si>
  <si>
    <t xml:space="preserve">   2.6 ค่าปรับอื่นๆ</t>
  </si>
  <si>
    <t>41229999</t>
  </si>
  <si>
    <t xml:space="preserve">   2.7 ค่าใบอนุญาตรับทำการกำจัดสิ่งปฏิกูลหรือมูลฝอย</t>
  </si>
  <si>
    <t>41230002</t>
  </si>
  <si>
    <t>41300003</t>
  </si>
  <si>
    <t>4130000</t>
  </si>
  <si>
    <t>41400000</t>
  </si>
  <si>
    <t>41400006</t>
  </si>
  <si>
    <t>41500000</t>
  </si>
  <si>
    <t>41500004</t>
  </si>
  <si>
    <t>41599999</t>
  </si>
  <si>
    <t>42100000</t>
  </si>
  <si>
    <t>42100001</t>
  </si>
  <si>
    <t xml:space="preserve">   6.1 ภาษีและค่าธรรมเนียมรถยนต์และล้อเลื่อน</t>
  </si>
  <si>
    <t xml:space="preserve">   6.2 ภาษีมูลค่าเพิ่มตาม พรบ.กำหนดแผนฯ</t>
  </si>
  <si>
    <t xml:space="preserve">   6.3 ภาษีมูลค่าเพิ่มตาม พรบ.จัดสรรรายได้ฯ</t>
  </si>
  <si>
    <t>42100002</t>
  </si>
  <si>
    <t>42100004</t>
  </si>
  <si>
    <t>42100005</t>
  </si>
  <si>
    <t>42100007</t>
  </si>
  <si>
    <t xml:space="preserve">   6.4 ภาษีธุรกิจเฉพาะ</t>
  </si>
  <si>
    <t>42100012</t>
  </si>
  <si>
    <t>42100013</t>
  </si>
  <si>
    <t>42199999</t>
  </si>
  <si>
    <t>7. หมวดเงินอุดหนุนทั่วไป</t>
  </si>
  <si>
    <t>43100000</t>
  </si>
  <si>
    <t>43100002</t>
  </si>
  <si>
    <t xml:space="preserve">   7.1 เงินอุดหนุนทั่วไปสำหรับดำเนินการตามอำนาจหน้าที่ตามภาระกิจถ่ายโอนเลือกทำ</t>
  </si>
  <si>
    <t>งบรายรับ-รายจ่ายจริงตามงบประมาณ ประจำปี 2563</t>
  </si>
  <si>
    <t xml:space="preserve">  ค่าธรรมเนียมเก็บและขนขยะมูลฝอย</t>
  </si>
  <si>
    <t xml:space="preserve">  ค่าธรรมเนียมเกี่ยวกับทะเบียนพาณิชย์</t>
  </si>
  <si>
    <t xml:space="preserve">  ค่าธรรมเนียมกำจัดขยะมูลฝอย</t>
  </si>
  <si>
    <t xml:space="preserve">  ค่าธรรมเนียมอื่นๆ</t>
  </si>
  <si>
    <t xml:space="preserve">  ค่าปรับผิดสัญญา</t>
  </si>
  <si>
    <t xml:space="preserve">  ค่าปรับอื่นๆ</t>
  </si>
  <si>
    <t xml:space="preserve">  ค่าใบอนุญาตรับทำการกำจัดสิ่งปฏิกูลหรือมูลฝอย</t>
  </si>
  <si>
    <t xml:space="preserve"> ดอกเบี้ยเงินฝากธนาคาร</t>
  </si>
  <si>
    <t xml:space="preserve">  รายได้จากสาธารณูปโภคและการพาณิชย์</t>
  </si>
  <si>
    <t xml:space="preserve">  ค่าขายแบบแปลน</t>
  </si>
  <si>
    <t xml:space="preserve">  รายได้เบ็ดเตล็ด</t>
  </si>
  <si>
    <t>ภาษีและค่าธรรมเนียมรถยนต์และล้อเลื่อน</t>
  </si>
  <si>
    <t>ตาม พรบ.กำหนดแผนฯ</t>
  </si>
  <si>
    <t>ภาษีมูลค่าเพิ่มตาม พรบ.จัดสรรรายได้ฯ</t>
  </si>
  <si>
    <t>ภาษีจัดสรรอื่น ๆ</t>
  </si>
  <si>
    <t>เงินอุดหนุนกำหนดวัตถุประสงค์ (รอคืนจังหวัด)</t>
  </si>
  <si>
    <t>รายจ่ายค้างจ่ายปี 2561</t>
  </si>
  <si>
    <t>รายจ่ายค้างจ่ายปี 2562</t>
  </si>
  <si>
    <t>ถ้าจ่ายเงินให้นำมาบวกเพิ่ม (ยอดลูกหนี้)</t>
  </si>
  <si>
    <t>ประจำปีงบประมาณ 2563</t>
  </si>
  <si>
    <t>เงินอุดหนุนเฉพาะกิจระบุวัตถุประสงค์</t>
  </si>
  <si>
    <t>จ่ายเช็คเกิน</t>
  </si>
  <si>
    <t>ตั้งแต่วันที่  1 ตุลาคม  2562 ถึงวันที่  30 กันยายน 2563</t>
  </si>
  <si>
    <t>เงินรับฝาก-ประกันสังคม</t>
  </si>
  <si>
    <t>ปีงบประมาณ  2563</t>
  </si>
  <si>
    <r>
      <t xml:space="preserve">เงินรับฝาก-ภาษีหัก </t>
    </r>
    <r>
      <rPr>
        <i/>
        <sz val="16"/>
        <color indexed="8"/>
        <rFont val="Angsana New"/>
        <family val="1"/>
      </rPr>
      <t>ณ ที่จ่าย</t>
    </r>
  </si>
  <si>
    <t>เงินฝากธนาคาร</t>
  </si>
  <si>
    <t>ปรับปรุงเงินขาดบัญชีบันทึกจ่ายเช็คเกินรับคืน</t>
  </si>
  <si>
    <t>ส่งรายงานการเงินประจำเดือน  กุมภาพันธ์  ๒๕๖๓</t>
  </si>
  <si>
    <t xml:space="preserve">  มีนาคม  ๒๕๖๓</t>
  </si>
  <si>
    <t>ประจำเดือน กุมภาพันธ์  ๒๕๖๓ (รายละเอียดปรากฎตามสิ่งที่ส่งมาด้วย)</t>
  </si>
  <si>
    <t>เงินประกันซอง</t>
  </si>
  <si>
    <t>เงินฝากกระทรวงการคลัง</t>
  </si>
  <si>
    <t>บันทึกรับเงินอุดหนุนทั่วไป (เบี้ยยังชีพผู้สูงอายุ ผู้พิการ)</t>
  </si>
  <si>
    <t>บันทึกจ่ายเงินเบี้ยยังชีพผู้สูงอายุ ผู้พิการ)</t>
  </si>
  <si>
    <t xml:space="preserve">   9.11 เงินประกันซอง</t>
  </si>
  <si>
    <t>ส่งใช้เงินยืมงบประมาณ ตามฎีกายืมคลังรับเลขที่ 411/63</t>
  </si>
  <si>
    <t>ลว.3 มี.ค.63 (ค่าเดินทางไปราชการ)</t>
  </si>
  <si>
    <t>ลว.4 มี.ค.63 (ค่าเดินทางไปราชการ)</t>
  </si>
  <si>
    <t>ส่งใช้เงินยืมงบประมาณ ตามฎีกายืมคลังรับเลขที่ 414/63</t>
  </si>
  <si>
    <t>ส่งใช้เงินยืมงบประมาณ ตามฎีกายืมคลังรับเลขที่ 433/63</t>
  </si>
  <si>
    <t>ลว.16 มี.ค.63 (ค่าเดินทางไปราชการ)</t>
  </si>
  <si>
    <t>8.1 เงินอุดหนุนเฉพาะกิจ</t>
  </si>
  <si>
    <t>ดอกเบี้ย</t>
  </si>
  <si>
    <t>ณ  วันที่  31 มีนาคม 2563</t>
  </si>
  <si>
    <t>ยอดเงินคงเหลือตามรายงานธนาคาร ณ วันที่  31 มีนาคม 2563</t>
  </si>
  <si>
    <t>ยอดคงเหลือตามบัญชี ณ วันที่  31  มีนาคม 2563</t>
  </si>
  <si>
    <t>มีนาคม</t>
  </si>
  <si>
    <t>- เงินฝากกระทรวงการคลัง</t>
  </si>
  <si>
    <t>305.34</t>
  </si>
  <si>
    <t>เงินรับฝากค่าใช้จ่าย (กยศ.)</t>
  </si>
  <si>
    <t>6/63</t>
  </si>
  <si>
    <t>ดอกเบี้ยที่ยังไม่บันทึกบัญชี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</si>
</sst>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(&quot;฿&quot;* #,##0.00_);_(&quot;฿&quot;* \(#,##0.00\);_(&quot;฿&quot;* &quot;-&quot;??_);_(@_)"/>
    <numFmt numFmtId="188" formatCode="_(* #,##0.00_);_(* \(#,##0.00\);_(* &quot;-&quot;??_);_(@_)"/>
    <numFmt numFmtId="189" formatCode="#,##0;[Red]\-#,##0.00"/>
    <numFmt numFmtId="190" formatCode="[$-101041E]d\ mmm\ yy;@"/>
  </numFmts>
  <fonts count="32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sz val="1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sz val="10"/>
      <name val="Angsana New"/>
      <family val="1"/>
    </font>
    <font>
      <b/>
      <sz val="20"/>
      <name val="Angsana New"/>
      <family val="1"/>
    </font>
    <font>
      <sz val="16"/>
      <color rgb="FFFF0000"/>
      <name val="Angsana New"/>
      <family val="1"/>
    </font>
    <font>
      <sz val="16"/>
      <color indexed="8"/>
      <name val="Angsana New"/>
      <family val="1"/>
    </font>
    <font>
      <sz val="16"/>
      <color theme="9" tint="-0.249977111117893"/>
      <name val="Angsana New"/>
      <family val="1"/>
    </font>
    <font>
      <sz val="14"/>
      <color rgb="FFFF0000"/>
      <name val="Angsana New"/>
      <family val="1"/>
    </font>
    <font>
      <sz val="14"/>
      <name val="Angsana New"/>
      <family val="1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b/>
      <sz val="14"/>
      <name val="Angsana New"/>
      <family val="1"/>
    </font>
    <font>
      <sz val="18"/>
      <name val="Angsana New"/>
      <family val="1"/>
    </font>
    <font>
      <u/>
      <sz val="16"/>
      <name val="Angsana New"/>
      <family val="1"/>
    </font>
    <font>
      <sz val="16"/>
      <color rgb="FF0070C0"/>
      <name val="Angsana New"/>
      <family val="1"/>
    </font>
    <font>
      <b/>
      <sz val="10"/>
      <name val="TH SarabunPSK"/>
      <family val="2"/>
    </font>
    <font>
      <b/>
      <sz val="10"/>
      <color indexed="10"/>
      <name val="TH SarabunPSK"/>
      <family val="2"/>
    </font>
    <font>
      <sz val="11"/>
      <name val="TH SarabunPSK"/>
      <family val="2"/>
    </font>
    <font>
      <sz val="14"/>
      <color rgb="FF00B050"/>
      <name val="Angsana New"/>
      <family val="1"/>
    </font>
    <font>
      <sz val="14"/>
      <color theme="1"/>
      <name val="Angsana New"/>
      <family val="1"/>
    </font>
    <font>
      <b/>
      <u val="double"/>
      <sz val="16"/>
      <name val="Angsana New"/>
      <family val="1"/>
    </font>
    <font>
      <i/>
      <sz val="16"/>
      <color indexed="8"/>
      <name val="Angsana New"/>
      <family val="1"/>
    </font>
    <font>
      <sz val="2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188" fontId="3" fillId="0" borderId="0" applyFont="0" applyFill="0" applyBorder="0" applyAlignment="0" applyProtection="0"/>
  </cellStyleXfs>
  <cellXfs count="55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5" fillId="0" borderId="8" xfId="0" applyFont="1" applyBorder="1"/>
    <xf numFmtId="0" fontId="5" fillId="0" borderId="11" xfId="0" applyFont="1" applyBorder="1"/>
    <xf numFmtId="0" fontId="5" fillId="0" borderId="18" xfId="0" applyFont="1" applyBorder="1"/>
    <xf numFmtId="0" fontId="4" fillId="0" borderId="0" xfId="0" applyFont="1" applyAlignment="1">
      <alignment horizontal="left"/>
    </xf>
    <xf numFmtId="59" fontId="4" fillId="0" borderId="0" xfId="0" applyNumberFormat="1" applyFont="1" applyAlignment="1">
      <alignment horizontal="center"/>
    </xf>
    <xf numFmtId="0" fontId="8" fillId="0" borderId="3" xfId="0" applyFont="1" applyBorder="1"/>
    <xf numFmtId="49" fontId="8" fillId="0" borderId="5" xfId="0" applyNumberFormat="1" applyFont="1" applyBorder="1" applyAlignment="1">
      <alignment horizontal="center"/>
    </xf>
    <xf numFmtId="188" fontId="8" fillId="0" borderId="5" xfId="1" applyFont="1" applyBorder="1"/>
    <xf numFmtId="0" fontId="9" fillId="0" borderId="0" xfId="0" applyFont="1"/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88" fontId="8" fillId="0" borderId="5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2" xfId="0" applyFont="1" applyBorder="1"/>
    <xf numFmtId="49" fontId="9" fillId="0" borderId="26" xfId="0" applyNumberFormat="1" applyFont="1" applyBorder="1" applyAlignment="1">
      <alignment horizontal="center"/>
    </xf>
    <xf numFmtId="188" fontId="9" fillId="0" borderId="26" xfId="1" applyFont="1" applyBorder="1"/>
    <xf numFmtId="0" fontId="9" fillId="0" borderId="27" xfId="0" applyFont="1" applyBorder="1"/>
    <xf numFmtId="49" fontId="9" fillId="0" borderId="24" xfId="0" applyNumberFormat="1" applyFont="1" applyBorder="1" applyAlignment="1">
      <alignment horizontal="center"/>
    </xf>
    <xf numFmtId="188" fontId="9" fillId="0" borderId="24" xfId="1" applyFont="1" applyBorder="1"/>
    <xf numFmtId="0" fontId="9" fillId="0" borderId="9" xfId="0" applyFont="1" applyBorder="1"/>
    <xf numFmtId="49" fontId="9" fillId="0" borderId="11" xfId="0" applyNumberFormat="1" applyFont="1" applyBorder="1" applyAlignment="1">
      <alignment horizontal="center"/>
    </xf>
    <xf numFmtId="188" fontId="9" fillId="0" borderId="11" xfId="1" applyFont="1" applyBorder="1"/>
    <xf numFmtId="0" fontId="9" fillId="0" borderId="16" xfId="0" applyFont="1" applyBorder="1"/>
    <xf numFmtId="188" fontId="9" fillId="0" borderId="18" xfId="1" applyFont="1" applyBorder="1"/>
    <xf numFmtId="0" fontId="9" fillId="0" borderId="11" xfId="0" applyFont="1" applyBorder="1"/>
    <xf numFmtId="0" fontId="9" fillId="0" borderId="22" xfId="0" applyFont="1" applyBorder="1"/>
    <xf numFmtId="0" fontId="9" fillId="0" borderId="13" xfId="0" applyFont="1" applyBorder="1"/>
    <xf numFmtId="49" fontId="9" fillId="0" borderId="15" xfId="0" applyNumberFormat="1" applyFont="1" applyBorder="1" applyAlignment="1">
      <alignment horizontal="center"/>
    </xf>
    <xf numFmtId="188" fontId="9" fillId="0" borderId="15" xfId="1" applyFont="1" applyBorder="1"/>
    <xf numFmtId="188" fontId="9" fillId="0" borderId="11" xfId="1" applyFont="1" applyBorder="1" applyAlignment="1"/>
    <xf numFmtId="0" fontId="8" fillId="0" borderId="5" xfId="0" applyFont="1" applyBorder="1" applyAlignment="1">
      <alignment horizontal="left"/>
    </xf>
    <xf numFmtId="188" fontId="8" fillId="0" borderId="5" xfId="1" applyFont="1" applyBorder="1" applyAlignment="1">
      <alignment horizontal="center"/>
    </xf>
    <xf numFmtId="188" fontId="9" fillId="0" borderId="8" xfId="1" applyFont="1" applyBorder="1" applyAlignment="1">
      <alignment horizontal="center"/>
    </xf>
    <xf numFmtId="188" fontId="9" fillId="0" borderId="8" xfId="1" applyFont="1" applyBorder="1"/>
    <xf numFmtId="0" fontId="9" fillId="0" borderId="11" xfId="0" applyFont="1" applyBorder="1" applyAlignment="1">
      <alignment horizontal="left"/>
    </xf>
    <xf numFmtId="188" fontId="9" fillId="0" borderId="11" xfId="1" applyFont="1" applyBorder="1" applyAlignment="1">
      <alignment horizontal="center"/>
    </xf>
    <xf numFmtId="188" fontId="9" fillId="0" borderId="15" xfId="1" applyFont="1" applyBorder="1" applyAlignment="1">
      <alignment horizontal="center"/>
    </xf>
    <xf numFmtId="188" fontId="8" fillId="0" borderId="28" xfId="1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49" fontId="9" fillId="0" borderId="7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49" fontId="9" fillId="0" borderId="10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88" fontId="9" fillId="0" borderId="0" xfId="1" applyFont="1"/>
    <xf numFmtId="188" fontId="9" fillId="0" borderId="0" xfId="1" applyFont="1" applyAlignment="1">
      <alignment horizontal="right"/>
    </xf>
    <xf numFmtId="49" fontId="9" fillId="0" borderId="1" xfId="1" applyNumberFormat="1" applyFont="1" applyBorder="1" applyAlignment="1">
      <alignment horizontal="center"/>
    </xf>
    <xf numFmtId="0" fontId="11" fillId="0" borderId="0" xfId="0" applyFont="1"/>
    <xf numFmtId="190" fontId="9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1" applyNumberFormat="1" applyFont="1" applyBorder="1" applyAlignment="1">
      <alignment horizontal="center" vertical="center"/>
    </xf>
    <xf numFmtId="188" fontId="9" fillId="0" borderId="8" xfId="1" applyFont="1" applyBorder="1" applyAlignment="1">
      <alignment horizontal="center" vertic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1" applyNumberFormat="1" applyFont="1" applyBorder="1" applyAlignment="1"/>
    <xf numFmtId="188" fontId="9" fillId="0" borderId="11" xfId="1" applyFont="1" applyBorder="1" applyAlignment="1">
      <alignment horizontal="left"/>
    </xf>
    <xf numFmtId="0" fontId="13" fillId="0" borderId="0" xfId="0" applyFont="1"/>
    <xf numFmtId="188" fontId="9" fillId="0" borderId="10" xfId="1" applyFont="1" applyBorder="1" applyAlignment="1">
      <alignment horizontal="left"/>
    </xf>
    <xf numFmtId="188" fontId="13" fillId="0" borderId="0" xfId="0" applyNumberFormat="1" applyFont="1"/>
    <xf numFmtId="0" fontId="9" fillId="0" borderId="10" xfId="0" applyFont="1" applyBorder="1"/>
    <xf numFmtId="0" fontId="9" fillId="0" borderId="11" xfId="0" applyNumberFormat="1" applyFont="1" applyBorder="1" applyAlignment="1"/>
    <xf numFmtId="188" fontId="9" fillId="0" borderId="10" xfId="1" applyFont="1" applyBorder="1" applyAlignment="1"/>
    <xf numFmtId="0" fontId="9" fillId="0" borderId="11" xfId="0" applyFont="1" applyBorder="1" applyAlignment="1"/>
    <xf numFmtId="0" fontId="14" fillId="0" borderId="10" xfId="0" applyFont="1" applyBorder="1" applyAlignment="1">
      <alignment horizontal="left"/>
    </xf>
    <xf numFmtId="0" fontId="9" fillId="0" borderId="12" xfId="0" applyFont="1" applyBorder="1"/>
    <xf numFmtId="0" fontId="9" fillId="0" borderId="14" xfId="0" applyFont="1" applyBorder="1" applyAlignment="1"/>
    <xf numFmtId="0" fontId="9" fillId="0" borderId="14" xfId="0" applyFont="1" applyBorder="1"/>
    <xf numFmtId="0" fontId="9" fillId="0" borderId="13" xfId="0" applyFont="1" applyBorder="1" applyAlignment="1"/>
    <xf numFmtId="0" fontId="9" fillId="0" borderId="15" xfId="0" applyFont="1" applyBorder="1" applyAlignment="1"/>
    <xf numFmtId="188" fontId="9" fillId="0" borderId="14" xfId="1" applyFont="1" applyBorder="1" applyAlignment="1"/>
    <xf numFmtId="0" fontId="15" fillId="0" borderId="0" xfId="0" applyFont="1"/>
    <xf numFmtId="0" fontId="9" fillId="0" borderId="17" xfId="0" applyFont="1" applyBorder="1" applyAlignment="1"/>
    <xf numFmtId="0" fontId="9" fillId="0" borderId="17" xfId="0" applyFont="1" applyBorder="1"/>
    <xf numFmtId="0" fontId="9" fillId="0" borderId="16" xfId="0" applyFont="1" applyBorder="1" applyAlignment="1"/>
    <xf numFmtId="188" fontId="9" fillId="0" borderId="18" xfId="1" applyFont="1" applyBorder="1" applyAlignment="1"/>
    <xf numFmtId="0" fontId="8" fillId="0" borderId="19" xfId="0" applyFont="1" applyBorder="1"/>
    <xf numFmtId="0" fontId="8" fillId="0" borderId="19" xfId="0" applyFont="1" applyBorder="1" applyAlignment="1"/>
    <xf numFmtId="188" fontId="8" fillId="0" borderId="3" xfId="0" applyNumberFormat="1" applyFont="1" applyBorder="1" applyAlignment="1"/>
    <xf numFmtId="188" fontId="8" fillId="0" borderId="5" xfId="0" applyNumberFormat="1" applyFont="1" applyBorder="1" applyAlignment="1"/>
    <xf numFmtId="188" fontId="11" fillId="2" borderId="0" xfId="0" applyNumberFormat="1" applyFont="1" applyFill="1"/>
    <xf numFmtId="188" fontId="9" fillId="0" borderId="0" xfId="0" applyNumberFormat="1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88" fontId="8" fillId="0" borderId="0" xfId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9" fillId="0" borderId="6" xfId="0" applyFont="1" applyBorder="1" applyAlignment="1"/>
    <xf numFmtId="0" fontId="9" fillId="0" borderId="8" xfId="0" applyFont="1" applyBorder="1" applyAlignment="1">
      <alignment horizontal="center" vertical="center"/>
    </xf>
    <xf numFmtId="188" fontId="9" fillId="0" borderId="7" xfId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/>
    </xf>
    <xf numFmtId="188" fontId="11" fillId="0" borderId="0" xfId="0" applyNumberFormat="1" applyFont="1"/>
    <xf numFmtId="0" fontId="16" fillId="0" borderId="0" xfId="0" applyFont="1"/>
    <xf numFmtId="0" fontId="9" fillId="0" borderId="11" xfId="0" quotePrefix="1" applyFont="1" applyBorder="1"/>
    <xf numFmtId="188" fontId="16" fillId="0" borderId="0" xfId="0" applyNumberFormat="1" applyFont="1"/>
    <xf numFmtId="188" fontId="17" fillId="0" borderId="0" xfId="0" applyNumberFormat="1" applyFont="1"/>
    <xf numFmtId="188" fontId="9" fillId="0" borderId="15" xfId="1" applyFont="1" applyBorder="1" applyAlignment="1"/>
    <xf numFmtId="188" fontId="16" fillId="0" borderId="45" xfId="0" applyNumberFormat="1" applyFont="1" applyBorder="1"/>
    <xf numFmtId="0" fontId="9" fillId="0" borderId="18" xfId="0" applyFont="1" applyBorder="1" applyAlignment="1"/>
    <xf numFmtId="188" fontId="9" fillId="0" borderId="17" xfId="1" applyFont="1" applyBorder="1" applyAlignment="1"/>
    <xf numFmtId="188" fontId="8" fillId="0" borderId="0" xfId="1" applyFont="1" applyBorder="1" applyAlignment="1">
      <alignment horizontal="left"/>
    </xf>
    <xf numFmtId="0" fontId="9" fillId="0" borderId="9" xfId="0" applyFont="1" applyBorder="1" applyAlignment="1">
      <alignment horizontal="left" vertical="center"/>
    </xf>
    <xf numFmtId="188" fontId="9" fillId="0" borderId="10" xfId="0" applyNumberFormat="1" applyFont="1" applyBorder="1" applyAlignment="1">
      <alignment horizontal="left" vertical="center"/>
    </xf>
    <xf numFmtId="188" fontId="9" fillId="0" borderId="10" xfId="0" applyNumberFormat="1" applyFont="1" applyBorder="1" applyAlignment="1"/>
    <xf numFmtId="188" fontId="17" fillId="2" borderId="0" xfId="0" applyNumberFormat="1" applyFont="1" applyFill="1"/>
    <xf numFmtId="0" fontId="8" fillId="0" borderId="0" xfId="0" applyFont="1" applyBorder="1" applyAlignment="1"/>
    <xf numFmtId="188" fontId="8" fillId="0" borderId="0" xfId="0" applyNumberFormat="1" applyFont="1" applyBorder="1" applyAlignment="1"/>
    <xf numFmtId="0" fontId="12" fillId="0" borderId="0" xfId="0" applyFont="1" applyAlignment="1">
      <alignment vertical="center"/>
    </xf>
    <xf numFmtId="0" fontId="18" fillId="0" borderId="0" xfId="0" applyFont="1"/>
    <xf numFmtId="0" fontId="8" fillId="0" borderId="9" xfId="0" applyFont="1" applyBorder="1" applyAlignment="1"/>
    <xf numFmtId="188" fontId="8" fillId="0" borderId="9" xfId="0" applyNumberFormat="1" applyFont="1" applyBorder="1" applyAlignment="1"/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188" fontId="8" fillId="0" borderId="5" xfId="0" applyNumberFormat="1" applyFont="1" applyBorder="1" applyAlignment="1">
      <alignment horizontal="center"/>
    </xf>
    <xf numFmtId="188" fontId="8" fillId="0" borderId="0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/>
    <xf numFmtId="188" fontId="9" fillId="0" borderId="12" xfId="2" applyNumberFormat="1" applyFont="1" applyBorder="1" applyAlignment="1">
      <alignment horizontal="center" vertical="center"/>
    </xf>
    <xf numFmtId="188" fontId="9" fillId="0" borderId="11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188" fontId="9" fillId="0" borderId="15" xfId="2" applyNumberFormat="1" applyFont="1" applyBorder="1" applyAlignment="1">
      <alignment horizontal="center" vertical="center"/>
    </xf>
    <xf numFmtId="188" fontId="9" fillId="0" borderId="11" xfId="1" applyFont="1" applyBorder="1" applyAlignment="1">
      <alignment horizontal="center" vertical="center"/>
    </xf>
    <xf numFmtId="188" fontId="9" fillId="0" borderId="32" xfId="2" applyNumberFormat="1" applyFont="1" applyBorder="1"/>
    <xf numFmtId="188" fontId="9" fillId="0" borderId="11" xfId="2" applyNumberFormat="1" applyFont="1" applyBorder="1"/>
    <xf numFmtId="188" fontId="9" fillId="0" borderId="15" xfId="2" applyNumberFormat="1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17" fontId="9" fillId="0" borderId="15" xfId="0" applyNumberFormat="1" applyFont="1" applyBorder="1"/>
    <xf numFmtId="0" fontId="9" fillId="0" borderId="5" xfId="0" applyFont="1" applyBorder="1"/>
    <xf numFmtId="188" fontId="8" fillId="0" borderId="5" xfId="2" applyNumberFormat="1" applyFont="1" applyBorder="1"/>
    <xf numFmtId="188" fontId="8" fillId="0" borderId="5" xfId="0" applyNumberFormat="1" applyFont="1" applyBorder="1"/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88" fontId="9" fillId="0" borderId="13" xfId="1" applyFont="1" applyBorder="1"/>
    <xf numFmtId="49" fontId="19" fillId="0" borderId="11" xfId="0" applyNumberFormat="1" applyFont="1" applyBorder="1"/>
    <xf numFmtId="188" fontId="8" fillId="0" borderId="3" xfId="1" applyFont="1" applyBorder="1" applyAlignment="1">
      <alignment horizontal="center"/>
    </xf>
    <xf numFmtId="190" fontId="9" fillId="0" borderId="0" xfId="0" applyNumberFormat="1" applyFont="1"/>
    <xf numFmtId="188" fontId="8" fillId="0" borderId="5" xfId="1" applyFont="1" applyBorder="1" applyAlignment="1">
      <alignment horizontal="center" vertical="center" wrapText="1"/>
    </xf>
    <xf numFmtId="190" fontId="9" fillId="0" borderId="8" xfId="0" applyNumberFormat="1" applyFont="1" applyBorder="1" applyAlignment="1">
      <alignment horizontal="center" vertical="center" wrapText="1"/>
    </xf>
    <xf numFmtId="190" fontId="9" fillId="0" borderId="7" xfId="0" applyNumberFormat="1" applyFont="1" applyBorder="1" applyAlignment="1">
      <alignment horizontal="left" vertical="center" wrapText="1"/>
    </xf>
    <xf numFmtId="188" fontId="9" fillId="0" borderId="8" xfId="1" applyFont="1" applyBorder="1" applyAlignment="1">
      <alignment horizontal="center" vertical="center" wrapText="1"/>
    </xf>
    <xf numFmtId="188" fontId="8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90" fontId="9" fillId="0" borderId="11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 wrapText="1"/>
    </xf>
    <xf numFmtId="188" fontId="9" fillId="0" borderId="24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90" fontId="9" fillId="0" borderId="39" xfId="0" applyNumberFormat="1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190" fontId="9" fillId="0" borderId="24" xfId="0" applyNumberFormat="1" applyFont="1" applyBorder="1" applyAlignment="1">
      <alignment horizontal="center" vertical="center" wrapText="1"/>
    </xf>
    <xf numFmtId="190" fontId="9" fillId="0" borderId="24" xfId="0" applyNumberFormat="1" applyFont="1" applyBorder="1" applyAlignment="1">
      <alignment horizontal="center" vertical="center"/>
    </xf>
    <xf numFmtId="188" fontId="9" fillId="0" borderId="24" xfId="1" applyFont="1" applyFill="1" applyBorder="1" applyAlignment="1">
      <alignment horizontal="center" vertical="center" wrapText="1"/>
    </xf>
    <xf numFmtId="190" fontId="8" fillId="0" borderId="5" xfId="0" applyNumberFormat="1" applyFont="1" applyBorder="1" applyAlignment="1">
      <alignment horizontal="center" vertical="center" wrapText="1"/>
    </xf>
    <xf numFmtId="190" fontId="8" fillId="0" borderId="4" xfId="0" applyNumberFormat="1" applyFont="1" applyBorder="1" applyAlignment="1">
      <alignment horizontal="center" vertical="center" wrapText="1"/>
    </xf>
    <xf numFmtId="188" fontId="9" fillId="0" borderId="0" xfId="1" applyFont="1" applyAlignment="1">
      <alignment vertical="center"/>
    </xf>
    <xf numFmtId="188" fontId="9" fillId="0" borderId="5" xfId="1" applyFont="1" applyBorder="1" applyAlignment="1">
      <alignment horizontal="center" vertical="center"/>
    </xf>
    <xf numFmtId="188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8" fontId="9" fillId="0" borderId="29" xfId="1" applyFont="1" applyBorder="1" applyAlignment="1">
      <alignment horizontal="center" vertical="center"/>
    </xf>
    <xf numFmtId="188" fontId="9" fillId="0" borderId="28" xfId="1" applyFont="1" applyBorder="1" applyAlignment="1">
      <alignment horizontal="center" vertical="center"/>
    </xf>
    <xf numFmtId="188" fontId="13" fillId="0" borderId="0" xfId="1" applyFont="1" applyAlignment="1">
      <alignment horizontal="left" vertical="center"/>
    </xf>
    <xf numFmtId="0" fontId="9" fillId="0" borderId="24" xfId="0" applyFont="1" applyBorder="1"/>
    <xf numFmtId="0" fontId="22" fillId="0" borderId="11" xfId="0" applyFont="1" applyBorder="1"/>
    <xf numFmtId="188" fontId="9" fillId="0" borderId="25" xfId="1" applyFont="1" applyBorder="1"/>
    <xf numFmtId="188" fontId="9" fillId="0" borderId="0" xfId="1" applyFont="1" applyBorder="1"/>
    <xf numFmtId="188" fontId="9" fillId="0" borderId="42" xfId="1" applyFont="1" applyBorder="1"/>
    <xf numFmtId="188" fontId="23" fillId="0" borderId="0" xfId="1" applyFont="1"/>
    <xf numFmtId="0" fontId="9" fillId="0" borderId="43" xfId="0" quotePrefix="1" applyFont="1" applyBorder="1"/>
    <xf numFmtId="0" fontId="9" fillId="0" borderId="43" xfId="0" applyFont="1" applyBorder="1"/>
    <xf numFmtId="188" fontId="9" fillId="0" borderId="23" xfId="1" applyFont="1" applyBorder="1"/>
    <xf numFmtId="188" fontId="9" fillId="0" borderId="5" xfId="1" applyFont="1" applyBorder="1"/>
    <xf numFmtId="49" fontId="9" fillId="0" borderId="9" xfId="0" applyNumberFormat="1" applyFont="1" applyBorder="1"/>
    <xf numFmtId="188" fontId="9" fillId="0" borderId="41" xfId="1" applyFont="1" applyBorder="1"/>
    <xf numFmtId="49" fontId="9" fillId="0" borderId="13" xfId="0" applyNumberFormat="1" applyFont="1" applyBorder="1" applyAlignment="1">
      <alignment horizontal="center"/>
    </xf>
    <xf numFmtId="188" fontId="9" fillId="0" borderId="21" xfId="1" applyFont="1" applyBorder="1"/>
    <xf numFmtId="49" fontId="9" fillId="0" borderId="0" xfId="0" applyNumberFormat="1" applyFont="1" applyBorder="1" applyAlignment="1">
      <alignment horizontal="center"/>
    </xf>
    <xf numFmtId="188" fontId="9" fillId="0" borderId="27" xfId="1" applyFont="1" applyBorder="1"/>
    <xf numFmtId="0" fontId="22" fillId="0" borderId="26" xfId="0" applyFont="1" applyBorder="1"/>
    <xf numFmtId="49" fontId="9" fillId="0" borderId="43" xfId="0" applyNumberFormat="1" applyFont="1" applyBorder="1" applyAlignment="1">
      <alignment horizontal="center"/>
    </xf>
    <xf numFmtId="0" fontId="9" fillId="0" borderId="27" xfId="0" applyFont="1" applyBorder="1" applyAlignment="1"/>
    <xf numFmtId="188" fontId="9" fillId="0" borderId="44" xfId="1" applyFont="1" applyBorder="1"/>
    <xf numFmtId="0" fontId="8" fillId="0" borderId="11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3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89" fontId="9" fillId="0" borderId="10" xfId="0" applyNumberFormat="1" applyFont="1" applyBorder="1" applyAlignment="1">
      <alignment horizontal="center"/>
    </xf>
    <xf numFmtId="189" fontId="9" fillId="0" borderId="12" xfId="0" applyNumberFormat="1" applyFont="1" applyBorder="1" applyAlignment="1">
      <alignment horizontal="center"/>
    </xf>
    <xf numFmtId="188" fontId="9" fillId="2" borderId="0" xfId="1" applyFont="1" applyFill="1"/>
    <xf numFmtId="189" fontId="9" fillId="0" borderId="0" xfId="0" applyNumberFormat="1" applyFont="1"/>
    <xf numFmtId="0" fontId="9" fillId="0" borderId="0" xfId="0" applyFont="1" applyBorder="1" applyAlignment="1">
      <alignment horizontal="center"/>
    </xf>
    <xf numFmtId="188" fontId="9" fillId="0" borderId="0" xfId="0" applyNumberFormat="1" applyFont="1" applyAlignment="1"/>
    <xf numFmtId="188" fontId="9" fillId="0" borderId="31" xfId="2" applyFont="1" applyFill="1" applyBorder="1"/>
    <xf numFmtId="0" fontId="9" fillId="0" borderId="0" xfId="0" applyFont="1" applyAlignment="1"/>
    <xf numFmtId="188" fontId="9" fillId="0" borderId="0" xfId="1" applyFont="1" applyFill="1"/>
    <xf numFmtId="188" fontId="9" fillId="0" borderId="0" xfId="1" applyFont="1" applyAlignment="1"/>
    <xf numFmtId="0" fontId="9" fillId="0" borderId="30" xfId="0" applyFont="1" applyBorder="1" applyAlignment="1"/>
    <xf numFmtId="0" fontId="9" fillId="0" borderId="8" xfId="0" applyFont="1" applyBorder="1" applyAlignment="1"/>
    <xf numFmtId="188" fontId="9" fillId="0" borderId="8" xfId="2" applyFont="1" applyBorder="1"/>
    <xf numFmtId="0" fontId="9" fillId="0" borderId="12" xfId="0" applyFont="1" applyBorder="1" applyAlignment="1"/>
    <xf numFmtId="188" fontId="9" fillId="0" borderId="11" xfId="2" applyFont="1" applyBorder="1"/>
    <xf numFmtId="49" fontId="9" fillId="0" borderId="22" xfId="0" applyNumberFormat="1" applyFont="1" applyBorder="1"/>
    <xf numFmtId="188" fontId="9" fillId="2" borderId="0" xfId="0" applyNumberFormat="1" applyFont="1" applyFill="1"/>
    <xf numFmtId="188" fontId="9" fillId="0" borderId="11" xfId="2" applyFont="1" applyBorder="1" applyAlignment="1"/>
    <xf numFmtId="0" fontId="9" fillId="0" borderId="32" xfId="0" applyFont="1" applyBorder="1" applyAlignment="1"/>
    <xf numFmtId="188" fontId="9" fillId="0" borderId="15" xfId="2" applyFont="1" applyBorder="1"/>
    <xf numFmtId="188" fontId="9" fillId="0" borderId="15" xfId="2" applyFont="1" applyBorder="1" applyAlignment="1"/>
    <xf numFmtId="0" fontId="9" fillId="0" borderId="19" xfId="0" applyFont="1" applyBorder="1"/>
    <xf numFmtId="0" fontId="9" fillId="0" borderId="21" xfId="0" applyFont="1" applyBorder="1"/>
    <xf numFmtId="188" fontId="8" fillId="0" borderId="0" xfId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88" fontId="5" fillId="0" borderId="0" xfId="1" applyFont="1"/>
    <xf numFmtId="49" fontId="24" fillId="0" borderId="29" xfId="1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49" fontId="24" fillId="0" borderId="28" xfId="1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/>
    </xf>
    <xf numFmtId="0" fontId="24" fillId="0" borderId="6" xfId="0" applyFont="1" applyBorder="1"/>
    <xf numFmtId="188" fontId="5" fillId="0" borderId="8" xfId="1" applyFont="1" applyBorder="1"/>
    <xf numFmtId="40" fontId="5" fillId="0" borderId="8" xfId="1" applyNumberFormat="1" applyFont="1" applyBorder="1"/>
    <xf numFmtId="0" fontId="5" fillId="0" borderId="9" xfId="0" applyFont="1" applyBorder="1"/>
    <xf numFmtId="188" fontId="5" fillId="0" borderId="11" xfId="1" applyFont="1" applyBorder="1"/>
    <xf numFmtId="40" fontId="5" fillId="0" borderId="11" xfId="1" applyNumberFormat="1" applyFont="1" applyBorder="1"/>
    <xf numFmtId="40" fontId="5" fillId="0" borderId="15" xfId="1" applyNumberFormat="1" applyFont="1" applyBorder="1"/>
    <xf numFmtId="0" fontId="24" fillId="0" borderId="5" xfId="0" applyFont="1" applyBorder="1"/>
    <xf numFmtId="188" fontId="24" fillId="0" borderId="5" xfId="1" applyFont="1" applyBorder="1"/>
    <xf numFmtId="40" fontId="5" fillId="0" borderId="5" xfId="1" applyNumberFormat="1" applyFont="1" applyBorder="1"/>
    <xf numFmtId="0" fontId="5" fillId="0" borderId="5" xfId="0" applyFont="1" applyBorder="1"/>
    <xf numFmtId="188" fontId="5" fillId="0" borderId="5" xfId="1" applyFont="1" applyBorder="1"/>
    <xf numFmtId="0" fontId="24" fillId="0" borderId="19" xfId="0" applyFont="1" applyBorder="1" applyAlignment="1">
      <alignment horizontal="left"/>
    </xf>
    <xf numFmtId="188" fontId="24" fillId="0" borderId="21" xfId="1" applyFont="1" applyBorder="1"/>
    <xf numFmtId="188" fontId="24" fillId="0" borderId="25" xfId="1" applyFont="1" applyBorder="1"/>
    <xf numFmtId="0" fontId="24" fillId="0" borderId="0" xfId="0" applyFont="1" applyBorder="1" applyAlignment="1">
      <alignment horizontal="left"/>
    </xf>
    <xf numFmtId="188" fontId="24" fillId="0" borderId="0" xfId="1" applyFont="1" applyBorder="1"/>
    <xf numFmtId="188" fontId="24" fillId="0" borderId="0" xfId="1" applyFont="1"/>
    <xf numFmtId="0" fontId="5" fillId="0" borderId="9" xfId="0" applyFont="1" applyBorder="1" applyAlignment="1"/>
    <xf numFmtId="188" fontId="5" fillId="0" borderId="11" xfId="2" applyFont="1" applyBorder="1"/>
    <xf numFmtId="0" fontId="5" fillId="0" borderId="3" xfId="0" applyFont="1" applyBorder="1"/>
    <xf numFmtId="0" fontId="24" fillId="0" borderId="19" xfId="0" applyFont="1" applyBorder="1"/>
    <xf numFmtId="0" fontId="24" fillId="0" borderId="0" xfId="0" applyFont="1" applyBorder="1"/>
    <xf numFmtId="188" fontId="5" fillId="0" borderId="23" xfId="1" applyFont="1" applyBorder="1"/>
    <xf numFmtId="188" fontId="13" fillId="0" borderId="0" xfId="2" applyFont="1"/>
    <xf numFmtId="0" fontId="8" fillId="0" borderId="3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188" fontId="9" fillId="0" borderId="32" xfId="2" applyNumberFormat="1" applyFont="1" applyBorder="1" applyAlignment="1">
      <alignment horizontal="center" vertical="center"/>
    </xf>
    <xf numFmtId="188" fontId="9" fillId="0" borderId="15" xfId="1" applyFont="1" applyBorder="1" applyAlignment="1">
      <alignment horizontal="center" vertical="center"/>
    </xf>
    <xf numFmtId="0" fontId="8" fillId="0" borderId="15" xfId="0" applyFont="1" applyBorder="1"/>
    <xf numFmtId="0" fontId="9" fillId="0" borderId="11" xfId="0" applyFont="1" applyBorder="1" applyAlignment="1">
      <alignment horizontal="center" vertical="top"/>
    </xf>
    <xf numFmtId="0" fontId="13" fillId="0" borderId="46" xfId="0" applyFont="1" applyBorder="1"/>
    <xf numFmtId="0" fontId="9" fillId="0" borderId="48" xfId="0" applyFont="1" applyBorder="1"/>
    <xf numFmtId="188" fontId="13" fillId="0" borderId="49" xfId="0" applyNumberFormat="1" applyFont="1" applyBorder="1"/>
    <xf numFmtId="0" fontId="9" fillId="0" borderId="51" xfId="0" applyFont="1" applyBorder="1"/>
    <xf numFmtId="0" fontId="9" fillId="0" borderId="9" xfId="0" quotePrefix="1" applyFont="1" applyBorder="1"/>
    <xf numFmtId="188" fontId="19" fillId="0" borderId="24" xfId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8" xfId="0" quotePrefix="1" applyFont="1" applyBorder="1" applyAlignment="1">
      <alignment horizontal="right" vertical="center"/>
    </xf>
    <xf numFmtId="188" fontId="26" fillId="0" borderId="7" xfId="0" applyNumberFormat="1" applyFont="1" applyBorder="1" applyAlignment="1">
      <alignment vertical="center"/>
    </xf>
    <xf numFmtId="188" fontId="26" fillId="0" borderId="8" xfId="1" applyFont="1" applyBorder="1" applyAlignment="1">
      <alignment vertical="center"/>
    </xf>
    <xf numFmtId="188" fontId="26" fillId="0" borderId="8" xfId="0" applyNumberFormat="1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24" xfId="0" quotePrefix="1" applyFont="1" applyBorder="1" applyAlignment="1">
      <alignment horizontal="right" vertical="center"/>
    </xf>
    <xf numFmtId="188" fontId="26" fillId="0" borderId="39" xfId="0" applyNumberFormat="1" applyFont="1" applyBorder="1" applyAlignment="1">
      <alignment vertical="center"/>
    </xf>
    <xf numFmtId="188" fontId="26" fillId="0" borderId="11" xfId="0" applyNumberFormat="1" applyFont="1" applyBorder="1" applyAlignment="1">
      <alignment vertical="center"/>
    </xf>
    <xf numFmtId="188" fontId="26" fillId="0" borderId="24" xfId="1" applyFont="1" applyBorder="1" applyAlignment="1">
      <alignment vertical="center"/>
    </xf>
    <xf numFmtId="188" fontId="26" fillId="0" borderId="39" xfId="1" applyFont="1" applyBorder="1" applyAlignment="1">
      <alignment vertical="center"/>
    </xf>
    <xf numFmtId="0" fontId="26" fillId="0" borderId="24" xfId="0" applyFont="1" applyBorder="1" applyAlignment="1">
      <alignment horizontal="right" vertical="center"/>
    </xf>
    <xf numFmtId="0" fontId="26" fillId="0" borderId="11" xfId="0" applyFont="1" applyBorder="1" applyAlignment="1">
      <alignment vertical="center"/>
    </xf>
    <xf numFmtId="0" fontId="26" fillId="0" borderId="11" xfId="0" quotePrefix="1" applyFont="1" applyBorder="1" applyAlignment="1">
      <alignment horizontal="right" vertical="center"/>
    </xf>
    <xf numFmtId="188" fontId="26" fillId="0" borderId="10" xfId="1" applyFont="1" applyBorder="1" applyAlignment="1">
      <alignment vertical="center"/>
    </xf>
    <xf numFmtId="188" fontId="26" fillId="0" borderId="11" xfId="1" applyFont="1" applyBorder="1" applyAlignment="1">
      <alignment vertical="center"/>
    </xf>
    <xf numFmtId="0" fontId="26" fillId="0" borderId="11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188" fontId="26" fillId="0" borderId="10" xfId="0" applyNumberFormat="1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188" fontId="26" fillId="0" borderId="5" xfId="0" applyNumberFormat="1" applyFont="1" applyBorder="1" applyAlignment="1">
      <alignment vertical="center"/>
    </xf>
    <xf numFmtId="0" fontId="8" fillId="0" borderId="20" xfId="0" applyFont="1" applyBorder="1" applyAlignment="1"/>
    <xf numFmtId="0" fontId="8" fillId="0" borderId="19" xfId="0" applyFont="1" applyBorder="1" applyAlignment="1">
      <alignment horizontal="right"/>
    </xf>
    <xf numFmtId="0" fontId="8" fillId="0" borderId="33" xfId="0" applyFont="1" applyBorder="1" applyAlignment="1"/>
    <xf numFmtId="0" fontId="8" fillId="0" borderId="22" xfId="0" applyFont="1" applyBorder="1" applyAlignment="1"/>
    <xf numFmtId="0" fontId="8" fillId="0" borderId="0" xfId="0" applyFont="1" applyBorder="1" applyAlignment="1">
      <alignment horizontal="right"/>
    </xf>
    <xf numFmtId="0" fontId="8" fillId="0" borderId="34" xfId="0" applyFont="1" applyBorder="1" applyAlignment="1">
      <alignment horizontal="center"/>
    </xf>
    <xf numFmtId="0" fontId="10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188" fontId="9" fillId="0" borderId="0" xfId="1" applyFont="1" applyBorder="1" applyAlignment="1">
      <alignment horizontal="center"/>
    </xf>
    <xf numFmtId="188" fontId="8" fillId="0" borderId="26" xfId="1" applyFont="1" applyBorder="1"/>
    <xf numFmtId="188" fontId="8" fillId="0" borderId="26" xfId="0" applyNumberFormat="1" applyFont="1" applyBorder="1"/>
    <xf numFmtId="188" fontId="10" fillId="0" borderId="26" xfId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88" fontId="10" fillId="0" borderId="0" xfId="1" applyFont="1" applyBorder="1" applyAlignment="1">
      <alignment horizontal="center"/>
    </xf>
    <xf numFmtId="188" fontId="8" fillId="0" borderId="38" xfId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90" fontId="9" fillId="0" borderId="22" xfId="0" applyNumberFormat="1" applyFont="1" applyBorder="1" applyAlignment="1">
      <alignment horizontal="center"/>
    </xf>
    <xf numFmtId="188" fontId="9" fillId="0" borderId="26" xfId="0" applyNumberFormat="1" applyFont="1" applyBorder="1" applyAlignment="1">
      <alignment horizontal="center"/>
    </xf>
    <xf numFmtId="188" fontId="9" fillId="0" borderId="38" xfId="1" applyFont="1" applyBorder="1" applyAlignment="1">
      <alignment horizontal="center"/>
    </xf>
    <xf numFmtId="0" fontId="9" fillId="0" borderId="26" xfId="0" applyFont="1" applyBorder="1"/>
    <xf numFmtId="15" fontId="9" fillId="0" borderId="22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0" fontId="9" fillId="0" borderId="0" xfId="1" applyNumberFormat="1" applyFont="1" applyBorder="1" applyAlignment="1">
      <alignment horizontal="right"/>
    </xf>
    <xf numFmtId="40" fontId="9" fillId="0" borderId="23" xfId="1" applyNumberFormat="1" applyFont="1" applyBorder="1" applyAlignment="1">
      <alignment horizontal="right"/>
    </xf>
    <xf numFmtId="188" fontId="9" fillId="0" borderId="26" xfId="0" applyNumberFormat="1" applyFont="1" applyBorder="1"/>
    <xf numFmtId="188" fontId="9" fillId="0" borderId="38" xfId="1" applyFont="1" applyBorder="1" applyAlignment="1">
      <alignment horizontal="right"/>
    </xf>
    <xf numFmtId="40" fontId="9" fillId="0" borderId="26" xfId="1" applyNumberFormat="1" applyFont="1" applyBorder="1" applyAlignment="1">
      <alignment horizontal="right"/>
    </xf>
    <xf numFmtId="0" fontId="8" fillId="0" borderId="35" xfId="0" applyFont="1" applyBorder="1"/>
    <xf numFmtId="0" fontId="8" fillId="0" borderId="36" xfId="0" applyFont="1" applyBorder="1"/>
    <xf numFmtId="49" fontId="8" fillId="0" borderId="36" xfId="0" applyNumberFormat="1" applyFont="1" applyBorder="1" applyAlignment="1">
      <alignment horizontal="center"/>
    </xf>
    <xf numFmtId="188" fontId="8" fillId="0" borderId="28" xfId="0" applyNumberFormat="1" applyFont="1" applyBorder="1"/>
    <xf numFmtId="49" fontId="8" fillId="0" borderId="20" xfId="0" applyNumberFormat="1" applyFont="1" applyBorder="1" applyAlignment="1">
      <alignment horizontal="left"/>
    </xf>
    <xf numFmtId="49" fontId="8" fillId="0" borderId="22" xfId="0" applyNumberFormat="1" applyFont="1" applyBorder="1" applyAlignment="1">
      <alignment horizontal="left"/>
    </xf>
    <xf numFmtId="0" fontId="9" fillId="0" borderId="23" xfId="0" applyFont="1" applyBorder="1"/>
    <xf numFmtId="0" fontId="9" fillId="0" borderId="35" xfId="0" applyFont="1" applyBorder="1"/>
    <xf numFmtId="0" fontId="9" fillId="0" borderId="36" xfId="0" applyFont="1" applyBorder="1"/>
    <xf numFmtId="49" fontId="9" fillId="0" borderId="35" xfId="0" applyNumberFormat="1" applyFont="1" applyBorder="1" applyAlignment="1">
      <alignment horizontal="center"/>
    </xf>
    <xf numFmtId="0" fontId="9" fillId="0" borderId="37" xfId="0" applyFont="1" applyBorder="1"/>
    <xf numFmtId="0" fontId="8" fillId="0" borderId="33" xfId="0" applyFont="1" applyBorder="1" applyAlignment="1">
      <alignment horizontal="center"/>
    </xf>
    <xf numFmtId="0" fontId="12" fillId="0" borderId="22" xfId="0" applyFont="1" applyBorder="1" applyAlignment="1"/>
    <xf numFmtId="0" fontId="12" fillId="0" borderId="0" xfId="0" applyFont="1" applyBorder="1" applyAlignment="1"/>
    <xf numFmtId="188" fontId="8" fillId="0" borderId="11" xfId="1" applyFont="1" applyBorder="1" applyAlignment="1">
      <alignment vertical="center"/>
    </xf>
    <xf numFmtId="188" fontId="9" fillId="0" borderId="0" xfId="1" applyFont="1" applyFill="1" applyBorder="1" applyAlignment="1">
      <alignment vertical="center" wrapText="1"/>
    </xf>
    <xf numFmtId="188" fontId="9" fillId="0" borderId="38" xfId="1" applyFont="1" applyBorder="1" applyAlignment="1">
      <alignment horizontal="center" vertical="center" wrapText="1"/>
    </xf>
    <xf numFmtId="190" fontId="9" fillId="0" borderId="0" xfId="0" applyNumberFormat="1" applyFont="1" applyBorder="1" applyAlignment="1">
      <alignment horizontal="center"/>
    </xf>
    <xf numFmtId="40" fontId="9" fillId="0" borderId="38" xfId="1" applyNumberFormat="1" applyFont="1" applyBorder="1" applyAlignment="1">
      <alignment horizontal="right"/>
    </xf>
    <xf numFmtId="188" fontId="9" fillId="2" borderId="0" xfId="0" applyNumberFormat="1" applyFont="1" applyFill="1" applyAlignment="1">
      <alignment horizontal="center"/>
    </xf>
    <xf numFmtId="188" fontId="9" fillId="0" borderId="0" xfId="1" applyFont="1" applyFill="1" applyBorder="1" applyAlignment="1"/>
    <xf numFmtId="188" fontId="9" fillId="0" borderId="0" xfId="1" applyFont="1" applyBorder="1" applyAlignment="1">
      <alignment horizontal="right"/>
    </xf>
    <xf numFmtId="40" fontId="8" fillId="0" borderId="26" xfId="0" applyNumberFormat="1" applyFont="1" applyBorder="1" applyAlignment="1">
      <alignment horizontal="center"/>
    </xf>
    <xf numFmtId="188" fontId="9" fillId="0" borderId="38" xfId="1" applyFont="1" applyFill="1" applyBorder="1" applyAlignment="1"/>
    <xf numFmtId="188" fontId="8" fillId="0" borderId="8" xfId="1" applyFont="1" applyBorder="1" applyAlignment="1">
      <alignment vertical="center"/>
    </xf>
    <xf numFmtId="188" fontId="9" fillId="0" borderId="38" xfId="0" applyNumberFormat="1" applyFont="1" applyBorder="1" applyAlignment="1">
      <alignment horizontal="center"/>
    </xf>
    <xf numFmtId="188" fontId="9" fillId="0" borderId="37" xfId="1" applyFont="1" applyFill="1" applyBorder="1" applyAlignment="1"/>
    <xf numFmtId="188" fontId="9" fillId="0" borderId="40" xfId="1" applyFont="1" applyFill="1" applyBorder="1" applyAlignment="1"/>
    <xf numFmtId="40" fontId="9" fillId="0" borderId="26" xfId="0" applyNumberFormat="1" applyFont="1" applyBorder="1"/>
    <xf numFmtId="15" fontId="9" fillId="0" borderId="0" xfId="0" applyNumberFormat="1" applyFont="1" applyBorder="1" applyAlignment="1">
      <alignment horizontal="center"/>
    </xf>
    <xf numFmtId="0" fontId="17" fillId="0" borderId="8" xfId="0" applyFont="1" applyBorder="1"/>
    <xf numFmtId="188" fontId="9" fillId="0" borderId="11" xfId="2" applyFont="1" applyBorder="1" applyAlignment="1">
      <alignment horizontal="left"/>
    </xf>
    <xf numFmtId="0" fontId="9" fillId="0" borderId="43" xfId="0" applyFont="1" applyBorder="1" applyAlignment="1"/>
    <xf numFmtId="188" fontId="27" fillId="3" borderId="52" xfId="0" applyNumberFormat="1" applyFont="1" applyFill="1" applyBorder="1"/>
    <xf numFmtId="0" fontId="27" fillId="3" borderId="53" xfId="0" applyFont="1" applyFill="1" applyBorder="1"/>
    <xf numFmtId="0" fontId="27" fillId="3" borderId="54" xfId="0" applyFont="1" applyFill="1" applyBorder="1"/>
    <xf numFmtId="0" fontId="19" fillId="0" borderId="11" xfId="0" applyFont="1" applyBorder="1" applyAlignment="1">
      <alignment horizontal="left" vertical="center"/>
    </xf>
    <xf numFmtId="0" fontId="28" fillId="0" borderId="11" xfId="0" applyFont="1" applyBorder="1"/>
    <xf numFmtId="0" fontId="28" fillId="0" borderId="11" xfId="0" applyFont="1" applyBorder="1" applyAlignment="1">
      <alignment wrapText="1"/>
    </xf>
    <xf numFmtId="0" fontId="28" fillId="0" borderId="11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0" borderId="9" xfId="0" applyFont="1" applyBorder="1"/>
    <xf numFmtId="49" fontId="8" fillId="0" borderId="28" xfId="0" applyNumberFormat="1" applyFont="1" applyBorder="1" applyAlignment="1">
      <alignment horizontal="center"/>
    </xf>
    <xf numFmtId="187" fontId="9" fillId="0" borderId="16" xfId="0" applyNumberFormat="1" applyFont="1" applyBorder="1"/>
    <xf numFmtId="188" fontId="9" fillId="0" borderId="0" xfId="2" applyFont="1" applyBorder="1"/>
    <xf numFmtId="0" fontId="19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188" fontId="9" fillId="0" borderId="0" xfId="2" applyFont="1"/>
    <xf numFmtId="188" fontId="9" fillId="0" borderId="1" xfId="1" applyFont="1" applyBorder="1" applyAlignment="1">
      <alignment horizontal="center"/>
    </xf>
    <xf numFmtId="188" fontId="12" fillId="0" borderId="0" xfId="1" applyFont="1" applyAlignment="1">
      <alignment horizontal="center" vertical="center"/>
    </xf>
    <xf numFmtId="188" fontId="8" fillId="0" borderId="4" xfId="1" applyFont="1" applyBorder="1" applyAlignment="1">
      <alignment horizontal="center" vertical="center"/>
    </xf>
    <xf numFmtId="188" fontId="9" fillId="0" borderId="0" xfId="1" applyFont="1" applyBorder="1" applyAlignment="1">
      <alignment horizontal="center" vertical="center"/>
    </xf>
    <xf numFmtId="188" fontId="9" fillId="0" borderId="26" xfId="1" applyFont="1" applyBorder="1" applyAlignment="1">
      <alignment horizontal="center" vertical="center"/>
    </xf>
    <xf numFmtId="188" fontId="8" fillId="0" borderId="3" xfId="1" applyFont="1" applyBorder="1" applyAlignment="1"/>
    <xf numFmtId="188" fontId="8" fillId="0" borderId="19" xfId="1" applyFont="1" applyBorder="1"/>
    <xf numFmtId="188" fontId="8" fillId="0" borderId="21" xfId="1" applyFont="1" applyBorder="1"/>
    <xf numFmtId="188" fontId="8" fillId="0" borderId="0" xfId="1" applyFont="1" applyBorder="1"/>
    <xf numFmtId="188" fontId="8" fillId="0" borderId="23" xfId="1" applyFont="1" applyBorder="1"/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88" fontId="9" fillId="0" borderId="23" xfId="1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8" fontId="9" fillId="0" borderId="10" xfId="1" applyFont="1" applyBorder="1" applyAlignment="1">
      <alignment horizontal="center" vertical="center"/>
    </xf>
    <xf numFmtId="188" fontId="9" fillId="0" borderId="0" xfId="0" applyNumberFormat="1" applyFont="1"/>
    <xf numFmtId="188" fontId="9" fillId="0" borderId="0" xfId="0" applyNumberFormat="1" applyFont="1" applyBorder="1" applyAlignment="1">
      <alignment horizontal="left" vertical="center"/>
    </xf>
    <xf numFmtId="188" fontId="9" fillId="0" borderId="0" xfId="1" applyFont="1" applyBorder="1" applyAlignment="1"/>
    <xf numFmtId="188" fontId="9" fillId="0" borderId="26" xfId="1" applyFont="1" applyBorder="1" applyAlignment="1"/>
    <xf numFmtId="188" fontId="8" fillId="0" borderId="5" xfId="1" applyFont="1" applyBorder="1" applyAlignment="1"/>
    <xf numFmtId="0" fontId="9" fillId="0" borderId="9" xfId="0" applyNumberFormat="1" applyFont="1" applyBorder="1" applyAlignment="1">
      <alignment horizontal="left" vertical="center"/>
    </xf>
    <xf numFmtId="0" fontId="9" fillId="0" borderId="27" xfId="0" applyNumberFormat="1" applyFont="1" applyBorder="1"/>
    <xf numFmtId="0" fontId="9" fillId="0" borderId="9" xfId="0" applyNumberFormat="1" applyFont="1" applyBorder="1"/>
    <xf numFmtId="0" fontId="9" fillId="0" borderId="22" xfId="0" applyNumberFormat="1" applyFont="1" applyBorder="1"/>
    <xf numFmtId="0" fontId="9" fillId="0" borderId="13" xfId="0" applyNumberFormat="1" applyFont="1" applyBorder="1"/>
    <xf numFmtId="0" fontId="9" fillId="0" borderId="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/>
    </xf>
    <xf numFmtId="188" fontId="9" fillId="0" borderId="30" xfId="1" applyFont="1" applyBorder="1" applyAlignment="1">
      <alignment horizontal="center" vertical="center"/>
    </xf>
    <xf numFmtId="188" fontId="9" fillId="0" borderId="12" xfId="1" applyFont="1" applyBorder="1" applyAlignment="1"/>
    <xf numFmtId="188" fontId="9" fillId="0" borderId="12" xfId="1" applyFont="1" applyBorder="1" applyAlignment="1">
      <alignment horizontal="left"/>
    </xf>
    <xf numFmtId="188" fontId="9" fillId="0" borderId="24" xfId="1" applyFont="1" applyBorder="1" applyAlignment="1"/>
    <xf numFmtId="188" fontId="9" fillId="0" borderId="13" xfId="1" applyFont="1" applyBorder="1" applyAlignment="1">
      <alignment horizontal="center" vertical="center"/>
    </xf>
    <xf numFmtId="188" fontId="9" fillId="0" borderId="22" xfId="1" applyFont="1" applyBorder="1" applyAlignment="1">
      <alignment horizontal="center" vertical="center"/>
    </xf>
    <xf numFmtId="0" fontId="11" fillId="0" borderId="0" xfId="0" applyFont="1" applyBorder="1"/>
    <xf numFmtId="15" fontId="9" fillId="0" borderId="2" xfId="1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188" fontId="31" fillId="0" borderId="0" xfId="1" applyFont="1"/>
    <xf numFmtId="0" fontId="9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188" fontId="16" fillId="0" borderId="0" xfId="0" applyNumberFormat="1" applyFont="1" applyBorder="1"/>
    <xf numFmtId="0" fontId="8" fillId="0" borderId="9" xfId="0" applyFont="1" applyBorder="1"/>
    <xf numFmtId="0" fontId="8" fillId="0" borderId="9" xfId="0" applyNumberFormat="1" applyFont="1" applyBorder="1" applyAlignment="1">
      <alignment horizontal="left"/>
    </xf>
    <xf numFmtId="188" fontId="9" fillId="0" borderId="26" xfId="1" applyFont="1" applyBorder="1" applyAlignment="1">
      <alignment horizontal="center"/>
    </xf>
    <xf numFmtId="188" fontId="9" fillId="4" borderId="26" xfId="1" applyFont="1" applyFill="1" applyBorder="1" applyAlignment="1">
      <alignment horizontal="center" vertical="center"/>
    </xf>
    <xf numFmtId="188" fontId="9" fillId="4" borderId="11" xfId="1" applyFont="1" applyFill="1" applyBorder="1" applyAlignment="1"/>
    <xf numFmtId="188" fontId="9" fillId="4" borderId="24" xfId="1" applyFont="1" applyFill="1" applyBorder="1" applyAlignment="1"/>
    <xf numFmtId="188" fontId="19" fillId="4" borderId="24" xfId="1" applyFont="1" applyFill="1" applyBorder="1" applyAlignment="1"/>
    <xf numFmtId="188" fontId="9" fillId="0" borderId="18" xfId="1" applyFont="1" applyBorder="1" applyAlignment="1">
      <alignment horizontal="center"/>
    </xf>
    <xf numFmtId="15" fontId="9" fillId="4" borderId="22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14" fontId="10" fillId="0" borderId="22" xfId="0" applyNumberFormat="1" applyFont="1" applyBorder="1" applyAlignment="1">
      <alignment horizontal="center"/>
    </xf>
    <xf numFmtId="188" fontId="8" fillId="0" borderId="40" xfId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8" fillId="0" borderId="35" xfId="0" applyFont="1" applyBorder="1" applyAlignment="1"/>
    <xf numFmtId="49" fontId="9" fillId="0" borderId="0" xfId="0" applyNumberFormat="1" applyFont="1" applyBorder="1" applyAlignment="1">
      <alignment horizontal="right"/>
    </xf>
    <xf numFmtId="14" fontId="9" fillId="0" borderId="22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1" fillId="0" borderId="23" xfId="0" applyFont="1" applyBorder="1"/>
    <xf numFmtId="0" fontId="9" fillId="0" borderId="3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35" xfId="0" applyNumberFormat="1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188" fontId="9" fillId="0" borderId="35" xfId="1" applyFont="1" applyBorder="1" applyAlignment="1">
      <alignment horizontal="center"/>
    </xf>
    <xf numFmtId="188" fontId="9" fillId="0" borderId="36" xfId="1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188" fontId="9" fillId="0" borderId="0" xfId="1" applyFont="1" applyBorder="1" applyAlignment="1">
      <alignment horizontal="center"/>
    </xf>
    <xf numFmtId="188" fontId="9" fillId="0" borderId="23" xfId="1" applyFont="1" applyBorder="1" applyAlignment="1">
      <alignment horizontal="center"/>
    </xf>
    <xf numFmtId="188" fontId="9" fillId="0" borderId="22" xfId="1" applyFont="1" applyBorder="1" applyAlignment="1">
      <alignment horizontal="center"/>
    </xf>
    <xf numFmtId="188" fontId="9" fillId="0" borderId="37" xfId="1" applyFont="1" applyBorder="1" applyAlignment="1">
      <alignment horizont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190" fontId="8" fillId="0" borderId="5" xfId="0" applyNumberFormat="1" applyFont="1" applyBorder="1" applyAlignment="1">
      <alignment horizontal="center" vertical="center" wrapText="1"/>
    </xf>
    <xf numFmtId="188" fontId="8" fillId="0" borderId="5" xfId="1" applyFont="1" applyBorder="1" applyAlignment="1">
      <alignment horizontal="center" vertical="center" wrapText="1"/>
    </xf>
    <xf numFmtId="188" fontId="20" fillId="0" borderId="5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0" borderId="2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188" fontId="9" fillId="0" borderId="29" xfId="1" applyFont="1" applyBorder="1" applyAlignment="1">
      <alignment horizontal="center" vertical="center"/>
    </xf>
    <xf numFmtId="188" fontId="9" fillId="0" borderId="28" xfId="1" applyFont="1" applyBorder="1" applyAlignment="1">
      <alignment horizontal="center" vertical="center"/>
    </xf>
    <xf numFmtId="0" fontId="13" fillId="0" borderId="46" xfId="0" applyFont="1" applyBorder="1" applyAlignment="1">
      <alignment horizontal="center" wrapText="1"/>
    </xf>
    <xf numFmtId="0" fontId="13" fillId="0" borderId="47" xfId="0" applyFont="1" applyBorder="1" applyAlignment="1">
      <alignment horizontal="center" wrapText="1"/>
    </xf>
    <xf numFmtId="0" fontId="13" fillId="0" borderId="48" xfId="0" applyFont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13" fillId="0" borderId="50" xfId="0" applyFont="1" applyBorder="1" applyAlignment="1">
      <alignment horizontal="center" wrapText="1"/>
    </xf>
    <xf numFmtId="0" fontId="13" fillId="0" borderId="51" xfId="0" applyFont="1" applyBorder="1" applyAlignment="1">
      <alignment horizontal="center" wrapText="1"/>
    </xf>
    <xf numFmtId="188" fontId="9" fillId="0" borderId="5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right"/>
    </xf>
    <xf numFmtId="188" fontId="9" fillId="0" borderId="0" xfId="0" applyNumberFormat="1" applyFont="1" applyAlignment="1">
      <alignment horizontal="center"/>
    </xf>
    <xf numFmtId="188" fontId="27" fillId="3" borderId="55" xfId="0" applyNumberFormat="1" applyFont="1" applyFill="1" applyBorder="1" applyAlignment="1">
      <alignment horizontal="left"/>
    </xf>
    <xf numFmtId="188" fontId="27" fillId="3" borderId="56" xfId="0" applyNumberFormat="1" applyFont="1" applyFill="1" applyBorder="1" applyAlignment="1">
      <alignment horizontal="left"/>
    </xf>
    <xf numFmtId="188" fontId="27" fillId="3" borderId="57" xfId="0" applyNumberFormat="1" applyFont="1" applyFill="1" applyBorder="1" applyAlignment="1">
      <alignment horizontal="left"/>
    </xf>
    <xf numFmtId="0" fontId="9" fillId="0" borderId="0" xfId="0" applyFont="1" applyAlignment="1">
      <alignment horizontal="center"/>
    </xf>
    <xf numFmtId="15" fontId="9" fillId="0" borderId="36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88" fontId="9" fillId="0" borderId="20" xfId="1" applyFont="1" applyBorder="1" applyAlignment="1">
      <alignment horizontal="center" vertical="center"/>
    </xf>
    <xf numFmtId="188" fontId="9" fillId="0" borderId="35" xfId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88" fontId="24" fillId="0" borderId="29" xfId="1" applyFont="1" applyBorder="1" applyAlignment="1">
      <alignment horizontal="center" vertical="center"/>
    </xf>
    <xf numFmtId="188" fontId="24" fillId="0" borderId="28" xfId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88" fontId="9" fillId="0" borderId="3" xfId="1" applyFont="1" applyBorder="1" applyAlignment="1">
      <alignment horizontal="center"/>
    </xf>
    <xf numFmtId="188" fontId="9" fillId="0" borderId="41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16</xdr:row>
      <xdr:rowOff>47625</xdr:rowOff>
    </xdr:from>
    <xdr:to>
      <xdr:col>5</xdr:col>
      <xdr:colOff>895350</xdr:colOff>
      <xdr:row>16</xdr:row>
      <xdr:rowOff>238125</xdr:rowOff>
    </xdr:to>
    <xdr:sp macro="" textlink="">
      <xdr:nvSpPr>
        <xdr:cNvPr id="2" name="ลูกศรซ้า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772400" y="4467225"/>
          <a:ext cx="838200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5</xdr:col>
      <xdr:colOff>57150</xdr:colOff>
      <xdr:row>48</xdr:row>
      <xdr:rowOff>47625</xdr:rowOff>
    </xdr:from>
    <xdr:to>
      <xdr:col>5</xdr:col>
      <xdr:colOff>895350</xdr:colOff>
      <xdr:row>48</xdr:row>
      <xdr:rowOff>238125</xdr:rowOff>
    </xdr:to>
    <xdr:sp macro="" textlink="">
      <xdr:nvSpPr>
        <xdr:cNvPr id="3" name="ลูกศรซ้า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772400" y="4467225"/>
          <a:ext cx="838200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0</xdr:row>
          <xdr:rowOff>0</xdr:rowOff>
        </xdr:from>
        <xdr:to>
          <xdr:col>6</xdr:col>
          <xdr:colOff>95250</xdr:colOff>
          <xdr:row>3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38100</xdr:rowOff>
        </xdr:from>
        <xdr:to>
          <xdr:col>6</xdr:col>
          <xdr:colOff>76200</xdr:colOff>
          <xdr:row>3</xdr:row>
          <xdr:rowOff>161925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7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38100</xdr:rowOff>
        </xdr:from>
        <xdr:to>
          <xdr:col>6</xdr:col>
          <xdr:colOff>76200</xdr:colOff>
          <xdr:row>3</xdr:row>
          <xdr:rowOff>161925</xdr:rowOff>
        </xdr:to>
        <xdr:sp macro="" textlink="">
          <xdr:nvSpPr>
            <xdr:cNvPr id="78849" name="Object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18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591;&#3610;&#3648;&#3604;&#3639;&#3629;&#3609;%20&#3611;&#3637;%2062\9.%20&#3591;&#3610;&#3648;&#3604;&#3639;&#3629;&#3609;-&#3614;.&#3588;.%206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m\Downloads\3.&#3591;&#3610;&#3648;&#3604;&#3639;&#3629;&#3609;%20&#3608;.&#3588;.%20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m\Downloads\5.&#3591;&#3610;&#3648;&#3604;&#3639;&#3629;&#3609;%20&#3585;.&#3614;.%20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m\Downloads\4.&#3591;&#3610;&#3648;&#3604;&#3639;&#3629;&#3609;%20&#3617;.&#3588;.%206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m\Downloads\1.&#3591;&#3610;&#3648;&#3604;&#3639;&#3629;&#3609;%20&#3605;.&#3588;.%20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ผ่าน1"/>
      <sheetName val="ใบผ่าน 2"/>
      <sheetName val="ใบผ่าน 3"/>
      <sheetName val="ใบผ่านทั่วไป1"/>
      <sheetName val="เงินรับฝาก"/>
      <sheetName val="รายจ่ายค้างจ่าย"/>
      <sheetName val="เงินอุดหนุนทั่วไปกำหนดวัตถุประส"/>
      <sheetName val="เงินอุดหนุนทั่วไป"/>
      <sheetName val="รายจ่ายรอจ่าย"/>
      <sheetName val="จ่ายขาดเงินสะสม"/>
      <sheetName val="บัญชีรายรับ"/>
      <sheetName val="รายงานรับ-จ่าย"/>
      <sheetName val="งบทดลอง"/>
      <sheetName val="งบรับจ่าย"/>
      <sheetName val="งบกระทบยอด"/>
      <sheetName val="กรุงไทย"/>
      <sheetName val="01552-2-55731-1"/>
      <sheetName val="01552-2-57099-1"/>
      <sheetName val="01552-2-58578-2"/>
      <sheetName val="05424050559-1"/>
      <sheetName val="3001-0-25263-7"/>
      <sheetName val="หนังสือส่ง"/>
      <sheetName val="หนังสือส่ง (3)"/>
      <sheetName val="หนังสือส่ง (4)"/>
    </sheetNames>
    <sheetDataSet>
      <sheetData sheetId="0"/>
      <sheetData sheetId="1"/>
      <sheetData sheetId="2"/>
      <sheetData sheetId="3"/>
      <sheetData sheetId="4">
        <row r="6">
          <cell r="F6">
            <v>38210.310000000005</v>
          </cell>
        </row>
      </sheetData>
      <sheetData sheetId="5"/>
      <sheetData sheetId="6">
        <row r="10">
          <cell r="F10">
            <v>227388</v>
          </cell>
        </row>
      </sheetData>
      <sheetData sheetId="7">
        <row r="6">
          <cell r="F6">
            <v>3649508</v>
          </cell>
        </row>
      </sheetData>
      <sheetData sheetId="8"/>
      <sheetData sheetId="9"/>
      <sheetData sheetId="10"/>
      <sheetData sheetId="11">
        <row r="91">
          <cell r="B91">
            <v>4121414.1000000015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ผ่าน1"/>
      <sheetName val="ใบผ่าน 2"/>
      <sheetName val="ใบผ่าน 3"/>
      <sheetName val="ใบผ่านทั่วไป1"/>
      <sheetName val="ใบผ่านทั่วไป2"/>
      <sheetName val="เงินรับฝาก"/>
      <sheetName val="รายจ่ายค้างจ่าย"/>
      <sheetName val="เงินอุดหนุนทั่วไปกำหนดวัตถุประส"/>
      <sheetName val="เงินอุดหนุนทั่วไป"/>
      <sheetName val="จ่ายขาดเงินสะสม"/>
      <sheetName val="บัญชีรายรับ"/>
      <sheetName val="รายงานรับ-จ่าย"/>
      <sheetName val="รายงานรับ-จ่าย (2)"/>
      <sheetName val="งบทดลอง"/>
      <sheetName val="งบรับจ่าย"/>
      <sheetName val="งบกระทบยอด"/>
      <sheetName val="กรุงไทย"/>
      <sheetName val="01552-2-55731-1"/>
      <sheetName val="01552-2-57099-1"/>
      <sheetName val="01552-2-58578-2"/>
      <sheetName val="05424050559-1"/>
      <sheetName val="หนังสือส่ง"/>
      <sheetName val="รายรับ"/>
      <sheetName val="รายจ่าย"/>
      <sheetName val="หนังสือส่ง (2)"/>
      <sheetName val="หนังสือส่ง (3)"/>
    </sheetNames>
    <sheetDataSet>
      <sheetData sheetId="0"/>
      <sheetData sheetId="1"/>
      <sheetData sheetId="2"/>
      <sheetData sheetId="3"/>
      <sheetData sheetId="4"/>
      <sheetData sheetId="5">
        <row r="14">
          <cell r="D14">
            <v>0</v>
          </cell>
        </row>
      </sheetData>
      <sheetData sheetId="6"/>
      <sheetData sheetId="7">
        <row r="6">
          <cell r="F6">
            <v>0</v>
          </cell>
        </row>
      </sheetData>
      <sheetData sheetId="8">
        <row r="20">
          <cell r="F20">
            <v>0</v>
          </cell>
        </row>
      </sheetData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ผ่าน1"/>
      <sheetName val="ใบผ่าน 2"/>
      <sheetName val="ใบผ่าน 3"/>
      <sheetName val="ใบผ่านทั่วไป1"/>
      <sheetName val="ใบผ่านทั่วไป2"/>
      <sheetName val="เงินรับฝาก"/>
      <sheetName val="รายจ่ายค้างจ่าย"/>
      <sheetName val="เงินอุดหนุนทั่วไปกำหนดวัตถุประส"/>
      <sheetName val="เงินอุดหนุนทั่วไป"/>
      <sheetName val="จ่ายขาดเงินสะสม"/>
      <sheetName val="บัญชีรายรับ"/>
      <sheetName val="รายงานรับ-จ่าย"/>
      <sheetName val="รายงานรับ-จ่าย (2)"/>
      <sheetName val="งบทดลอง"/>
      <sheetName val="งบรับจ่าย"/>
      <sheetName val="งบกระทบยอด"/>
      <sheetName val="กรุงไทย"/>
      <sheetName val="01552-2-55731-1"/>
      <sheetName val="01552-2-57099-1"/>
      <sheetName val="01552-2-58578-2"/>
      <sheetName val="05424050559-1"/>
      <sheetName val="300010252637"/>
      <sheetName val="หนังสือส่ง"/>
      <sheetName val="รายรับ"/>
      <sheetName val="รายจ่าย"/>
      <sheetName val="หนังสือส่ง (2)"/>
      <sheetName val="หนังสือส่ง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>
        <row r="9">
          <cell r="F9">
            <v>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ผ่าน1"/>
      <sheetName val="ใบผ่าน 2"/>
      <sheetName val="ใบผ่าน 3"/>
      <sheetName val="ใบผ่านทั่วไป1"/>
      <sheetName val="ใบผ่านทั่วไป2"/>
      <sheetName val="เงินรับฝาก"/>
      <sheetName val="รายจ่ายค้างจ่าย"/>
      <sheetName val="เงินอุดหนุนทั่วไปกำหนดวัตถุประส"/>
      <sheetName val="เงินอุดหนุนทั่วไป"/>
      <sheetName val="จ่ายขาดเงินสะสม"/>
      <sheetName val="บัญชีรายรับ"/>
      <sheetName val="รายงานรับ-จ่าย"/>
      <sheetName val="รายงานรับ-จ่าย (2)"/>
      <sheetName val="งบทดลอง"/>
      <sheetName val="งบรับจ่าย"/>
      <sheetName val="งบกระทบยอด"/>
      <sheetName val="กรุงไทย"/>
      <sheetName val="01552-2-55731-1"/>
      <sheetName val="01552-2-57099-1"/>
      <sheetName val="01552-2-58578-2"/>
      <sheetName val="05424050559-1"/>
      <sheetName val="หนังสือส่ง"/>
      <sheetName val="รายรับ"/>
      <sheetName val="รายจ่าย"/>
      <sheetName val="หนังสือส่ง (2)"/>
      <sheetName val="หนังสือส่ง (3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ผ่าน1"/>
      <sheetName val="ใบผ่าน 2"/>
      <sheetName val="ใบผ่าน 3"/>
      <sheetName val="ใบผ่านทั่วไป1"/>
      <sheetName val="เงินรับฝาก"/>
      <sheetName val="รายจ่ายค้างจ่าย"/>
      <sheetName val="เงินอุดหนุนทั่วไปกำหนดวัตถุประส"/>
      <sheetName val="เงินอุดหนุนทั่วไป"/>
      <sheetName val="จ่ายขาดเงินสะสม"/>
      <sheetName val="บัญชีรายรับ"/>
      <sheetName val="รายงานรับ-จ่าย"/>
      <sheetName val="รายงานรับ-จ่าย (2)"/>
      <sheetName val="งบทดลอง"/>
      <sheetName val="งบรับจ่าย"/>
      <sheetName val="งบกระทบยอด"/>
      <sheetName val="กรุงไทย"/>
      <sheetName val="01552-2-55731-1"/>
      <sheetName val="01552-2-57099-1"/>
      <sheetName val="01552-2-58578-2"/>
      <sheetName val="05424050559-1"/>
      <sheetName val="หนังสือส่ง"/>
      <sheetName val="รายรับ"/>
      <sheetName val="รายจ่าย"/>
      <sheetName val="หนังสือส่ง (2)"/>
      <sheetName val="หนังสือส่ง (3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F1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zoomScaleNormal="100" workbookViewId="0">
      <selection activeCell="F2" sqref="F2"/>
    </sheetView>
  </sheetViews>
  <sheetFormatPr defaultRowHeight="21" customHeight="1" x14ac:dyDescent="0.5"/>
  <cols>
    <col min="1" max="2" width="16.5703125" style="12" customWidth="1"/>
    <col min="3" max="3" width="17.28515625" style="12" customWidth="1"/>
    <col min="4" max="6" width="16.5703125" style="12" customWidth="1"/>
    <col min="7" max="7" width="18.5703125" style="55" customWidth="1"/>
    <col min="8" max="8" width="9.140625" style="55"/>
    <col min="9" max="9" width="14.85546875" style="55" customWidth="1"/>
    <col min="10" max="16384" width="9.140625" style="55"/>
  </cols>
  <sheetData>
    <row r="1" spans="1:7" ht="21" customHeight="1" x14ac:dyDescent="0.5">
      <c r="E1" s="53" t="s">
        <v>105</v>
      </c>
      <c r="F1" s="54" t="s">
        <v>477</v>
      </c>
    </row>
    <row r="2" spans="1:7" ht="21" customHeight="1" x14ac:dyDescent="0.5">
      <c r="E2" s="53" t="s">
        <v>58</v>
      </c>
      <c r="F2" s="56">
        <v>242247</v>
      </c>
    </row>
    <row r="3" spans="1:7" ht="21" customHeight="1" x14ac:dyDescent="0.3">
      <c r="A3" s="472" t="s">
        <v>106</v>
      </c>
      <c r="B3" s="472"/>
      <c r="C3" s="472"/>
      <c r="D3" s="472"/>
      <c r="E3" s="472"/>
      <c r="F3" s="472"/>
    </row>
    <row r="4" spans="1:7" ht="21" customHeight="1" x14ac:dyDescent="0.3">
      <c r="A4" s="57" t="s">
        <v>107</v>
      </c>
      <c r="B4" s="57"/>
      <c r="C4" s="57"/>
      <c r="D4" s="58"/>
      <c r="E4" s="58"/>
      <c r="F4" s="58"/>
    </row>
    <row r="5" spans="1:7" s="61" customFormat="1" ht="21" customHeight="1" x14ac:dyDescent="0.3">
      <c r="A5" s="470" t="s">
        <v>6</v>
      </c>
      <c r="B5" s="471"/>
      <c r="C5" s="471"/>
      <c r="D5" s="59" t="s">
        <v>7</v>
      </c>
      <c r="E5" s="60" t="s">
        <v>95</v>
      </c>
      <c r="F5" s="59" t="s">
        <v>96</v>
      </c>
    </row>
    <row r="6" spans="1:7" ht="21" customHeight="1" x14ac:dyDescent="0.3">
      <c r="A6" s="62" t="s">
        <v>77</v>
      </c>
      <c r="B6" s="63"/>
      <c r="C6" s="63"/>
      <c r="D6" s="64"/>
      <c r="E6" s="65"/>
      <c r="F6" s="65"/>
    </row>
    <row r="7" spans="1:7" ht="21" customHeight="1" x14ac:dyDescent="0.5">
      <c r="A7" s="66" t="s">
        <v>118</v>
      </c>
      <c r="B7" s="67"/>
      <c r="C7" s="67"/>
      <c r="D7" s="68"/>
      <c r="E7" s="34">
        <f>111088.54+20</f>
        <v>111108.54</v>
      </c>
      <c r="F7" s="34"/>
    </row>
    <row r="8" spans="1:7" ht="21" customHeight="1" x14ac:dyDescent="0.5">
      <c r="A8" s="66" t="s">
        <v>119</v>
      </c>
      <c r="B8" s="67"/>
      <c r="C8" s="67"/>
      <c r="D8" s="68"/>
      <c r="E8" s="34"/>
      <c r="F8" s="69"/>
    </row>
    <row r="9" spans="1:7" ht="21" customHeight="1" x14ac:dyDescent="0.5">
      <c r="A9" s="66" t="s">
        <v>222</v>
      </c>
      <c r="B9" s="67"/>
      <c r="C9" s="67"/>
      <c r="D9" s="68"/>
      <c r="E9" s="34"/>
      <c r="F9" s="69"/>
    </row>
    <row r="10" spans="1:7" ht="21" customHeight="1" x14ac:dyDescent="0.5">
      <c r="A10" s="66" t="s">
        <v>76</v>
      </c>
      <c r="B10" s="67"/>
      <c r="C10" s="67"/>
      <c r="D10" s="68"/>
      <c r="E10" s="34"/>
      <c r="F10" s="69"/>
    </row>
    <row r="11" spans="1:7" ht="21" customHeight="1" x14ac:dyDescent="0.5">
      <c r="A11" s="66" t="s">
        <v>231</v>
      </c>
      <c r="B11" s="67"/>
      <c r="C11" s="67"/>
      <c r="D11" s="68"/>
      <c r="E11" s="34">
        <f>6000+800+21708+4500+7704.22+119329.36+368489.86</f>
        <v>528531.43999999994</v>
      </c>
      <c r="F11" s="69"/>
      <c r="G11" s="70" t="s">
        <v>352</v>
      </c>
    </row>
    <row r="12" spans="1:7" ht="21" customHeight="1" x14ac:dyDescent="0.5">
      <c r="A12" s="66" t="s">
        <v>221</v>
      </c>
      <c r="B12" s="67"/>
      <c r="C12" s="67"/>
      <c r="D12" s="68"/>
      <c r="E12" s="71">
        <v>288.7</v>
      </c>
      <c r="F12" s="69"/>
      <c r="G12" s="72">
        <f>SUM(E6:E12)</f>
        <v>639928.67999999993</v>
      </c>
    </row>
    <row r="13" spans="1:7" ht="21" customHeight="1" x14ac:dyDescent="0.5">
      <c r="A13" s="66" t="s">
        <v>458</v>
      </c>
      <c r="B13" s="67"/>
      <c r="C13" s="67"/>
      <c r="D13" s="68"/>
      <c r="E13" s="71">
        <v>571400</v>
      </c>
      <c r="F13" s="69"/>
      <c r="G13" s="72"/>
    </row>
    <row r="14" spans="1:7" ht="21" customHeight="1" x14ac:dyDescent="0.5">
      <c r="A14" s="66"/>
      <c r="B14" s="67" t="s">
        <v>77</v>
      </c>
      <c r="C14" s="73"/>
      <c r="D14" s="74"/>
      <c r="E14" s="75"/>
      <c r="F14" s="34">
        <v>20</v>
      </c>
    </row>
    <row r="15" spans="1:7" ht="21" customHeight="1" x14ac:dyDescent="0.5">
      <c r="A15" s="24"/>
      <c r="B15" s="67" t="s">
        <v>97</v>
      </c>
      <c r="C15" s="73"/>
      <c r="D15" s="74"/>
      <c r="E15" s="75"/>
      <c r="F15" s="34">
        <f>200+100+431+100+22+200+6000+800+21708+4500+200+7704.22+127+200+50+119329.36+368489.86+50+47735+288.7+20400+4839.54+34179+571400</f>
        <v>1209053.68</v>
      </c>
    </row>
    <row r="16" spans="1:7" ht="21" customHeight="1" x14ac:dyDescent="0.5">
      <c r="A16" s="24"/>
      <c r="B16" s="67" t="s">
        <v>47</v>
      </c>
      <c r="C16" s="73"/>
      <c r="D16" s="74"/>
      <c r="E16" s="75"/>
      <c r="F16" s="34"/>
    </row>
    <row r="17" spans="1:7" ht="21" customHeight="1" x14ac:dyDescent="0.5">
      <c r="A17" s="24"/>
      <c r="B17" s="67" t="s">
        <v>48</v>
      </c>
      <c r="C17" s="73"/>
      <c r="D17" s="76"/>
      <c r="E17" s="75"/>
      <c r="F17" s="34"/>
    </row>
    <row r="18" spans="1:7" ht="21" customHeight="1" x14ac:dyDescent="0.5">
      <c r="A18" s="24"/>
      <c r="B18" s="67" t="s">
        <v>286</v>
      </c>
      <c r="C18" s="73"/>
      <c r="D18" s="76"/>
      <c r="E18" s="75"/>
      <c r="F18" s="34"/>
    </row>
    <row r="19" spans="1:7" ht="21" customHeight="1" x14ac:dyDescent="0.5">
      <c r="A19" s="24"/>
      <c r="B19" s="77" t="s">
        <v>98</v>
      </c>
      <c r="C19" s="73"/>
      <c r="D19" s="76"/>
      <c r="E19" s="75"/>
      <c r="F19" s="34"/>
    </row>
    <row r="20" spans="1:7" ht="21" customHeight="1" x14ac:dyDescent="0.5">
      <c r="A20" s="24"/>
      <c r="B20" s="77" t="s">
        <v>457</v>
      </c>
      <c r="C20" s="73"/>
      <c r="D20" s="76"/>
      <c r="E20" s="75"/>
      <c r="F20" s="34"/>
    </row>
    <row r="21" spans="1:7" ht="21" customHeight="1" x14ac:dyDescent="0.5">
      <c r="A21" s="24"/>
      <c r="B21" s="77" t="s">
        <v>449</v>
      </c>
      <c r="C21" s="73"/>
      <c r="D21" s="76"/>
      <c r="E21" s="75"/>
      <c r="F21" s="34"/>
    </row>
    <row r="22" spans="1:7" ht="21" customHeight="1" x14ac:dyDescent="0.5">
      <c r="A22" s="24"/>
      <c r="B22" s="77" t="s">
        <v>451</v>
      </c>
      <c r="C22" s="73"/>
      <c r="D22" s="76"/>
      <c r="E22" s="75"/>
      <c r="F22" s="34"/>
    </row>
    <row r="23" spans="1:7" ht="21" customHeight="1" x14ac:dyDescent="0.5">
      <c r="A23" s="66"/>
      <c r="B23" s="78" t="s">
        <v>223</v>
      </c>
      <c r="C23" s="73"/>
      <c r="D23" s="76"/>
      <c r="E23" s="75"/>
      <c r="F23" s="34"/>
    </row>
    <row r="24" spans="1:7" ht="21" customHeight="1" x14ac:dyDescent="0.5">
      <c r="A24" s="66"/>
      <c r="B24" s="73" t="s">
        <v>288</v>
      </c>
      <c r="C24" s="73"/>
      <c r="D24" s="76"/>
      <c r="E24" s="75"/>
      <c r="F24" s="34"/>
    </row>
    <row r="25" spans="1:7" ht="21" customHeight="1" x14ac:dyDescent="0.5">
      <c r="A25" s="66"/>
      <c r="B25" s="67" t="s">
        <v>45</v>
      </c>
      <c r="C25" s="73"/>
      <c r="D25" s="76"/>
      <c r="E25" s="75"/>
      <c r="F25" s="34"/>
    </row>
    <row r="26" spans="1:7" ht="21" customHeight="1" x14ac:dyDescent="0.5">
      <c r="A26" s="66"/>
      <c r="B26" s="79" t="s">
        <v>320</v>
      </c>
      <c r="C26" s="80"/>
      <c r="D26" s="76"/>
      <c r="E26" s="75"/>
      <c r="F26" s="34"/>
    </row>
    <row r="27" spans="1:7" ht="21" customHeight="1" x14ac:dyDescent="0.5">
      <c r="A27" s="66"/>
      <c r="B27" s="79" t="s">
        <v>78</v>
      </c>
      <c r="C27" s="80"/>
      <c r="D27" s="76"/>
      <c r="E27" s="75"/>
      <c r="F27" s="34">
        <v>2255</v>
      </c>
    </row>
    <row r="28" spans="1:7" ht="21" customHeight="1" x14ac:dyDescent="0.5">
      <c r="A28" s="66"/>
      <c r="B28" s="79" t="s">
        <v>128</v>
      </c>
      <c r="C28" s="80"/>
      <c r="D28" s="76"/>
      <c r="E28" s="75"/>
      <c r="F28" s="34"/>
    </row>
    <row r="29" spans="1:7" ht="21" customHeight="1" x14ac:dyDescent="0.5">
      <c r="A29" s="66"/>
      <c r="B29" s="79" t="s">
        <v>178</v>
      </c>
      <c r="C29" s="80"/>
      <c r="D29" s="76"/>
      <c r="E29" s="75"/>
      <c r="F29" s="34"/>
    </row>
    <row r="30" spans="1:7" ht="21" customHeight="1" x14ac:dyDescent="0.5">
      <c r="A30" s="81"/>
      <c r="B30" s="79" t="s">
        <v>294</v>
      </c>
      <c r="C30" s="80"/>
      <c r="D30" s="82"/>
      <c r="E30" s="83"/>
      <c r="F30" s="34"/>
      <c r="G30" s="12"/>
    </row>
    <row r="31" spans="1:7" ht="21" customHeight="1" x14ac:dyDescent="0.5">
      <c r="A31" s="66"/>
      <c r="B31" s="67" t="s">
        <v>295</v>
      </c>
      <c r="C31" s="73"/>
      <c r="D31" s="66"/>
      <c r="E31" s="34"/>
      <c r="F31" s="34"/>
      <c r="G31" s="84"/>
    </row>
    <row r="32" spans="1:7" ht="21" customHeight="1" x14ac:dyDescent="0.5">
      <c r="A32" s="66"/>
      <c r="B32" s="67" t="s">
        <v>330</v>
      </c>
      <c r="C32" s="73"/>
      <c r="D32" s="66"/>
      <c r="E32" s="34"/>
      <c r="F32" s="34"/>
    </row>
    <row r="33" spans="1:9" ht="21" customHeight="1" x14ac:dyDescent="0.5">
      <c r="A33" s="87"/>
      <c r="B33" s="85" t="s">
        <v>351</v>
      </c>
      <c r="C33" s="86"/>
      <c r="D33" s="87"/>
      <c r="E33" s="88"/>
      <c r="F33" s="88"/>
    </row>
    <row r="34" spans="1:9" ht="21" customHeight="1" x14ac:dyDescent="0.5">
      <c r="A34" s="89"/>
      <c r="B34" s="89"/>
      <c r="C34" s="89"/>
      <c r="D34" s="90"/>
      <c r="E34" s="91">
        <f>SUM(E6:E33)</f>
        <v>1211328.68</v>
      </c>
      <c r="F34" s="92">
        <f>SUM(F6:F33)</f>
        <v>1211328.68</v>
      </c>
      <c r="G34" s="93">
        <f>E34-F34</f>
        <v>0</v>
      </c>
      <c r="I34" s="94">
        <f>E34-70</f>
        <v>1211258.68</v>
      </c>
    </row>
    <row r="35" spans="1:9" ht="8.25" customHeight="1" x14ac:dyDescent="0.5">
      <c r="A35" s="95"/>
      <c r="B35" s="95"/>
      <c r="C35" s="95"/>
      <c r="D35" s="96"/>
      <c r="E35" s="96"/>
      <c r="F35" s="97"/>
    </row>
    <row r="36" spans="1:9" ht="21" customHeight="1" x14ac:dyDescent="0.5">
      <c r="A36" s="98" t="s">
        <v>108</v>
      </c>
      <c r="B36" s="12" t="s">
        <v>148</v>
      </c>
      <c r="D36" s="51" t="s">
        <v>473</v>
      </c>
      <c r="E36" s="12" t="s">
        <v>112</v>
      </c>
    </row>
    <row r="37" spans="1:9" ht="7.5" customHeight="1" x14ac:dyDescent="0.5">
      <c r="A37" s="99"/>
      <c r="B37" s="99"/>
      <c r="C37" s="99"/>
      <c r="D37" s="99"/>
      <c r="E37" s="99"/>
      <c r="F37" s="99"/>
    </row>
    <row r="38" spans="1:9" ht="21" customHeight="1" x14ac:dyDescent="0.5">
      <c r="A38" s="100" t="s">
        <v>63</v>
      </c>
      <c r="B38" s="101"/>
      <c r="C38" s="100" t="s">
        <v>109</v>
      </c>
      <c r="D38" s="101"/>
      <c r="E38" s="89" t="s">
        <v>110</v>
      </c>
      <c r="F38" s="101"/>
    </row>
    <row r="39" spans="1:9" ht="21" customHeight="1" x14ac:dyDescent="0.5">
      <c r="A39" s="102"/>
      <c r="B39" s="103"/>
      <c r="C39" s="102"/>
      <c r="D39" s="103"/>
      <c r="E39" s="95"/>
      <c r="F39" s="103"/>
    </row>
    <row r="40" spans="1:9" ht="21" customHeight="1" x14ac:dyDescent="0.5">
      <c r="A40" s="473" t="s">
        <v>149</v>
      </c>
      <c r="B40" s="474"/>
      <c r="C40" s="478" t="s">
        <v>149</v>
      </c>
      <c r="D40" s="474"/>
      <c r="E40" s="478" t="s">
        <v>149</v>
      </c>
      <c r="F40" s="474"/>
    </row>
    <row r="41" spans="1:9" ht="21" customHeight="1" x14ac:dyDescent="0.5">
      <c r="A41" s="473" t="s">
        <v>66</v>
      </c>
      <c r="B41" s="475"/>
      <c r="C41" s="478" t="s">
        <v>354</v>
      </c>
      <c r="D41" s="474"/>
      <c r="E41" s="478" t="str">
        <f>A41</f>
        <v>(นายสงกรานต์  อัครวิจิตร)</v>
      </c>
      <c r="F41" s="474"/>
    </row>
    <row r="42" spans="1:9" ht="21" customHeight="1" x14ac:dyDescent="0.5">
      <c r="A42" s="473" t="s">
        <v>289</v>
      </c>
      <c r="B42" s="474"/>
      <c r="C42" s="473" t="s">
        <v>150</v>
      </c>
      <c r="D42" s="474"/>
      <c r="E42" s="473" t="str">
        <f>A42</f>
        <v>ผู้อำนวยการกองคลัง</v>
      </c>
      <c r="F42" s="474"/>
    </row>
    <row r="43" spans="1:9" ht="21" customHeight="1" x14ac:dyDescent="0.5">
      <c r="A43" s="476"/>
      <c r="B43" s="477"/>
      <c r="C43" s="479"/>
      <c r="D43" s="477"/>
      <c r="E43" s="476"/>
      <c r="F43" s="477"/>
    </row>
  </sheetData>
  <mergeCells count="14">
    <mergeCell ref="A5:C5"/>
    <mergeCell ref="A3:F3"/>
    <mergeCell ref="A40:B40"/>
    <mergeCell ref="A41:B41"/>
    <mergeCell ref="A43:B43"/>
    <mergeCell ref="C40:D40"/>
    <mergeCell ref="C41:D41"/>
    <mergeCell ref="A42:B42"/>
    <mergeCell ref="C42:D42"/>
    <mergeCell ref="E42:F42"/>
    <mergeCell ref="C43:D43"/>
    <mergeCell ref="E40:F40"/>
    <mergeCell ref="E41:F41"/>
    <mergeCell ref="E43:F43"/>
  </mergeCells>
  <pageMargins left="0.761811024" right="0.511811023622047" top="0.62992125984252001" bottom="0.43307086614173201" header="0.196850393700787" footer="0.196850393700787"/>
  <pageSetup paperSize="9" scale="90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2"/>
  <sheetViews>
    <sheetView topLeftCell="A16" zoomScaleNormal="100" workbookViewId="0">
      <selection activeCell="K7" sqref="K7"/>
    </sheetView>
  </sheetViews>
  <sheetFormatPr defaultRowHeight="14.25" x14ac:dyDescent="0.3"/>
  <cols>
    <col min="1" max="1" width="7.28515625" style="55" customWidth="1"/>
    <col min="2" max="2" width="39.140625" style="55" customWidth="1"/>
    <col min="3" max="3" width="14.140625" style="55" customWidth="1"/>
    <col min="4" max="4" width="16" style="55" customWidth="1"/>
    <col min="5" max="5" width="14.28515625" style="55" customWidth="1"/>
    <col min="6" max="7" width="14.7109375" style="55" customWidth="1"/>
    <col min="8" max="8" width="15.28515625" style="55" customWidth="1"/>
    <col min="9" max="16384" width="9.140625" style="55"/>
  </cols>
  <sheetData>
    <row r="1" spans="1:8" ht="24" customHeight="1" x14ac:dyDescent="0.5">
      <c r="A1" s="12"/>
      <c r="B1" s="12"/>
      <c r="C1" s="12"/>
      <c r="D1" s="12"/>
      <c r="E1" s="12"/>
      <c r="F1" s="12"/>
      <c r="G1" s="12"/>
      <c r="H1" s="128" t="s">
        <v>341</v>
      </c>
    </row>
    <row r="2" spans="1:8" ht="24" customHeight="1" x14ac:dyDescent="0.5">
      <c r="A2" s="12"/>
      <c r="B2" s="497" t="s">
        <v>94</v>
      </c>
      <c r="C2" s="497"/>
      <c r="D2" s="497"/>
      <c r="E2" s="497"/>
      <c r="F2" s="497"/>
      <c r="G2" s="497"/>
      <c r="H2" s="497"/>
    </row>
    <row r="3" spans="1:8" ht="24" customHeight="1" x14ac:dyDescent="0.5">
      <c r="A3" s="12"/>
      <c r="B3" s="497" t="s">
        <v>340</v>
      </c>
      <c r="C3" s="497"/>
      <c r="D3" s="497"/>
      <c r="E3" s="497"/>
      <c r="F3" s="497"/>
      <c r="G3" s="497"/>
      <c r="H3" s="497"/>
    </row>
    <row r="4" spans="1:8" ht="24" customHeight="1" x14ac:dyDescent="0.5">
      <c r="A4" s="12"/>
      <c r="B4" s="505" t="str">
        <f>เงินอุดหนุนทั่วไป!A4</f>
        <v>ณ  วันที่  31 มีนาคม 2563</v>
      </c>
      <c r="C4" s="505"/>
      <c r="D4" s="505"/>
      <c r="E4" s="505"/>
      <c r="F4" s="505"/>
      <c r="G4" s="505"/>
      <c r="H4" s="505"/>
    </row>
    <row r="5" spans="1:8" ht="24" customHeight="1" x14ac:dyDescent="0.3">
      <c r="A5" s="500" t="s">
        <v>189</v>
      </c>
      <c r="B5" s="500" t="s">
        <v>264</v>
      </c>
      <c r="C5" s="500" t="s">
        <v>265</v>
      </c>
      <c r="D5" s="502" t="s">
        <v>56</v>
      </c>
      <c r="E5" s="503"/>
      <c r="F5" s="500" t="s">
        <v>267</v>
      </c>
      <c r="G5" s="504" t="s">
        <v>44</v>
      </c>
      <c r="H5" s="504" t="s">
        <v>173</v>
      </c>
    </row>
    <row r="6" spans="1:8" ht="24" customHeight="1" x14ac:dyDescent="0.3">
      <c r="A6" s="501"/>
      <c r="B6" s="501"/>
      <c r="C6" s="501"/>
      <c r="D6" s="135" t="s">
        <v>266</v>
      </c>
      <c r="E6" s="135" t="s">
        <v>339</v>
      </c>
      <c r="F6" s="501"/>
      <c r="G6" s="504"/>
      <c r="H6" s="504"/>
    </row>
    <row r="7" spans="1:8" ht="24" customHeight="1" x14ac:dyDescent="0.5">
      <c r="A7" s="44"/>
      <c r="B7" s="136"/>
      <c r="C7" s="137"/>
      <c r="D7" s="137"/>
      <c r="E7" s="138"/>
      <c r="F7" s="138"/>
      <c r="G7" s="138"/>
      <c r="H7" s="138"/>
    </row>
    <row r="8" spans="1:8" ht="24" customHeight="1" x14ac:dyDescent="0.5">
      <c r="A8" s="29"/>
      <c r="B8" s="139"/>
      <c r="C8" s="140"/>
      <c r="D8" s="141"/>
      <c r="E8" s="141"/>
      <c r="F8" s="141"/>
      <c r="G8" s="142"/>
      <c r="H8" s="142"/>
    </row>
    <row r="9" spans="1:8" ht="24" customHeight="1" x14ac:dyDescent="0.5">
      <c r="A9" s="143"/>
      <c r="B9" s="144"/>
      <c r="C9" s="140"/>
      <c r="D9" s="141"/>
      <c r="E9" s="145"/>
      <c r="F9" s="149"/>
      <c r="G9" s="146"/>
      <c r="H9" s="146"/>
    </row>
    <row r="10" spans="1:8" ht="24" customHeight="1" x14ac:dyDescent="0.5">
      <c r="A10" s="29"/>
      <c r="B10" s="139"/>
      <c r="C10" s="140"/>
      <c r="D10" s="141"/>
      <c r="E10" s="141"/>
      <c r="F10" s="141"/>
      <c r="G10" s="142"/>
      <c r="H10" s="146"/>
    </row>
    <row r="11" spans="1:8" ht="24" customHeight="1" x14ac:dyDescent="0.5">
      <c r="A11" s="143"/>
      <c r="B11" s="144"/>
      <c r="C11" s="140"/>
      <c r="D11" s="141"/>
      <c r="E11" s="145"/>
      <c r="F11" s="149"/>
      <c r="G11" s="146"/>
      <c r="H11" s="146"/>
    </row>
    <row r="12" spans="1:8" ht="24" customHeight="1" x14ac:dyDescent="0.5">
      <c r="A12" s="29"/>
      <c r="B12" s="139"/>
      <c r="C12" s="140"/>
      <c r="D12" s="141"/>
      <c r="E12" s="141"/>
      <c r="F12" s="141"/>
      <c r="G12" s="142"/>
      <c r="H12" s="146"/>
    </row>
    <row r="13" spans="1:8" ht="24" customHeight="1" x14ac:dyDescent="0.5">
      <c r="A13" s="143"/>
      <c r="B13" s="144"/>
      <c r="C13" s="140"/>
      <c r="D13" s="141"/>
      <c r="E13" s="145"/>
      <c r="F13" s="149"/>
      <c r="G13" s="146"/>
      <c r="H13" s="146"/>
    </row>
    <row r="14" spans="1:8" ht="24" customHeight="1" x14ac:dyDescent="0.5">
      <c r="A14" s="29"/>
      <c r="B14" s="139"/>
      <c r="C14" s="140"/>
      <c r="D14" s="141"/>
      <c r="E14" s="141"/>
      <c r="F14" s="141"/>
      <c r="G14" s="142"/>
      <c r="H14" s="146"/>
    </row>
    <row r="15" spans="1:8" ht="24" customHeight="1" x14ac:dyDescent="0.5">
      <c r="A15" s="143"/>
      <c r="B15" s="144"/>
      <c r="C15" s="140"/>
      <c r="D15" s="141"/>
      <c r="E15" s="145"/>
      <c r="F15" s="149"/>
      <c r="G15" s="146"/>
      <c r="H15" s="146"/>
    </row>
    <row r="16" spans="1:8" ht="24" customHeight="1" x14ac:dyDescent="0.5">
      <c r="A16" s="29"/>
      <c r="B16" s="139"/>
      <c r="C16" s="140"/>
      <c r="D16" s="141"/>
      <c r="E16" s="141"/>
      <c r="F16" s="141"/>
      <c r="G16" s="142"/>
      <c r="H16" s="146"/>
    </row>
    <row r="17" spans="1:8" ht="24" customHeight="1" x14ac:dyDescent="0.5">
      <c r="A17" s="143"/>
      <c r="B17" s="144"/>
      <c r="C17" s="140"/>
      <c r="D17" s="141"/>
      <c r="E17" s="145"/>
      <c r="F17" s="149"/>
      <c r="G17" s="146"/>
      <c r="H17" s="146"/>
    </row>
    <row r="18" spans="1:8" ht="24" customHeight="1" x14ac:dyDescent="0.5">
      <c r="A18" s="143"/>
      <c r="B18" s="144"/>
      <c r="C18" s="147"/>
      <c r="D18" s="147"/>
      <c r="E18" s="148"/>
      <c r="F18" s="149"/>
      <c r="G18" s="149"/>
      <c r="H18" s="150"/>
    </row>
    <row r="19" spans="1:8" ht="24" customHeight="1" x14ac:dyDescent="0.5">
      <c r="A19" s="151"/>
      <c r="B19" s="152"/>
      <c r="C19" s="147"/>
      <c r="D19" s="147"/>
      <c r="E19" s="149"/>
      <c r="F19" s="149"/>
      <c r="G19" s="149"/>
      <c r="H19" s="153"/>
    </row>
    <row r="20" spans="1:8" ht="24" customHeight="1" x14ac:dyDescent="0.5">
      <c r="A20" s="154"/>
      <c r="B20" s="50" t="s">
        <v>37</v>
      </c>
      <c r="C20" s="155">
        <f>SUM(C8:C19)</f>
        <v>0</v>
      </c>
      <c r="D20" s="155"/>
      <c r="E20" s="155">
        <f>SUM(E8:E19)</f>
        <v>0</v>
      </c>
      <c r="F20" s="155">
        <f>SUM(F8:F19)</f>
        <v>0</v>
      </c>
      <c r="G20" s="155">
        <f>SUM(G8:G19)</f>
        <v>0</v>
      </c>
      <c r="H20" s="156">
        <f>SUM(H9:H18)</f>
        <v>0</v>
      </c>
    </row>
    <row r="21" spans="1:8" ht="24" customHeight="1" x14ac:dyDescent="0.3"/>
    <row r="22" spans="1:8" ht="24" customHeight="1" x14ac:dyDescent="0.3"/>
    <row r="23" spans="1:8" ht="24" customHeight="1" x14ac:dyDescent="0.3"/>
    <row r="24" spans="1:8" ht="24" customHeight="1" x14ac:dyDescent="0.3"/>
    <row r="25" spans="1:8" ht="24" customHeight="1" x14ac:dyDescent="0.3"/>
    <row r="26" spans="1:8" ht="24" customHeight="1" x14ac:dyDescent="0.3"/>
    <row r="27" spans="1:8" ht="24" customHeight="1" x14ac:dyDescent="0.3"/>
    <row r="28" spans="1:8" ht="24" customHeight="1" x14ac:dyDescent="0.3"/>
    <row r="29" spans="1:8" ht="24" customHeight="1" x14ac:dyDescent="0.3"/>
    <row r="30" spans="1:8" ht="24" customHeight="1" x14ac:dyDescent="0.3"/>
    <row r="31" spans="1:8" ht="24" customHeight="1" x14ac:dyDescent="0.3"/>
    <row r="32" spans="1:8" ht="24" customHeight="1" x14ac:dyDescent="0.3"/>
  </sheetData>
  <mergeCells count="10">
    <mergeCell ref="B2:H2"/>
    <mergeCell ref="B3:H3"/>
    <mergeCell ref="B4:H4"/>
    <mergeCell ref="A5:A6"/>
    <mergeCell ref="B5:B6"/>
    <mergeCell ref="C5:C6"/>
    <mergeCell ref="D5:E5"/>
    <mergeCell ref="F5:F6"/>
    <mergeCell ref="G5:G6"/>
    <mergeCell ref="H5:H6"/>
  </mergeCells>
  <pageMargins left="0.59055118110236227" right="0.39370078740157483" top="0.35433070866141736" bottom="0.35433070866141736" header="0.31496062992125984" footer="0.31496062992125984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6"/>
  <sheetViews>
    <sheetView topLeftCell="A28" zoomScaleNormal="100" workbookViewId="0">
      <selection activeCell="K9" sqref="K9"/>
    </sheetView>
  </sheetViews>
  <sheetFormatPr defaultRowHeight="23.25" x14ac:dyDescent="0.5"/>
  <cols>
    <col min="1" max="1" width="11.7109375" style="12" customWidth="1"/>
    <col min="2" max="2" width="37.28515625" style="12" customWidth="1"/>
    <col min="3" max="3" width="14.85546875" style="12" customWidth="1"/>
    <col min="4" max="4" width="14" style="12" customWidth="1"/>
    <col min="5" max="5" width="13.85546875" style="12" customWidth="1"/>
    <col min="6" max="6" width="14.42578125" style="12" customWidth="1"/>
    <col min="7" max="7" width="15.28515625" style="12" customWidth="1"/>
    <col min="8" max="8" width="13.7109375" style="12" customWidth="1"/>
    <col min="9" max="9" width="11.28515625" style="12" customWidth="1"/>
    <col min="10" max="16384" width="9.140625" style="12"/>
  </cols>
  <sheetData>
    <row r="1" spans="1:9" x14ac:dyDescent="0.5">
      <c r="A1" s="163"/>
      <c r="C1" s="52"/>
      <c r="D1" s="52"/>
      <c r="E1" s="52"/>
      <c r="F1" s="52"/>
      <c r="G1" s="52"/>
      <c r="H1" s="52"/>
      <c r="I1" s="128" t="s">
        <v>268</v>
      </c>
    </row>
    <row r="2" spans="1:9" x14ac:dyDescent="0.5">
      <c r="A2" s="497" t="s">
        <v>94</v>
      </c>
      <c r="B2" s="497"/>
      <c r="C2" s="497"/>
      <c r="D2" s="497"/>
      <c r="E2" s="497"/>
      <c r="F2" s="497"/>
      <c r="G2" s="497"/>
      <c r="H2" s="497"/>
      <c r="I2" s="497"/>
    </row>
    <row r="3" spans="1:9" x14ac:dyDescent="0.5">
      <c r="A3" s="497" t="s">
        <v>269</v>
      </c>
      <c r="B3" s="497"/>
      <c r="C3" s="497"/>
      <c r="D3" s="497"/>
      <c r="E3" s="497"/>
      <c r="F3" s="497"/>
      <c r="G3" s="497"/>
      <c r="H3" s="497"/>
      <c r="I3" s="497"/>
    </row>
    <row r="4" spans="1:9" x14ac:dyDescent="0.5">
      <c r="A4" s="506" t="s">
        <v>445</v>
      </c>
      <c r="B4" s="506"/>
      <c r="C4" s="506"/>
      <c r="D4" s="506"/>
      <c r="E4" s="506"/>
      <c r="F4" s="506"/>
      <c r="G4" s="506"/>
      <c r="H4" s="506"/>
      <c r="I4" s="506"/>
    </row>
    <row r="5" spans="1:9" x14ac:dyDescent="0.5">
      <c r="A5" s="507" t="s">
        <v>270</v>
      </c>
      <c r="B5" s="504" t="s">
        <v>271</v>
      </c>
      <c r="C5" s="508" t="s">
        <v>265</v>
      </c>
      <c r="D5" s="508"/>
      <c r="E5" s="508" t="s">
        <v>266</v>
      </c>
      <c r="F5" s="508" t="s">
        <v>267</v>
      </c>
      <c r="G5" s="509" t="s">
        <v>382</v>
      </c>
      <c r="H5" s="508" t="s">
        <v>272</v>
      </c>
      <c r="I5" s="504" t="s">
        <v>173</v>
      </c>
    </row>
    <row r="6" spans="1:9" x14ac:dyDescent="0.5">
      <c r="A6" s="507"/>
      <c r="B6" s="504"/>
      <c r="C6" s="164" t="s">
        <v>273</v>
      </c>
      <c r="D6" s="164" t="s">
        <v>274</v>
      </c>
      <c r="E6" s="508"/>
      <c r="F6" s="508"/>
      <c r="G6" s="509"/>
      <c r="H6" s="508"/>
      <c r="I6" s="504"/>
    </row>
    <row r="7" spans="1:9" x14ac:dyDescent="0.5">
      <c r="A7" s="165"/>
      <c r="B7" s="166" t="s">
        <v>283</v>
      </c>
      <c r="C7" s="167"/>
      <c r="D7" s="167"/>
      <c r="E7" s="167"/>
      <c r="F7" s="168"/>
      <c r="G7" s="167">
        <f>งบทดลอง!E36</f>
        <v>2702950.7600000002</v>
      </c>
      <c r="H7" s="167"/>
      <c r="I7" s="169"/>
    </row>
    <row r="8" spans="1:9" x14ac:dyDescent="0.5">
      <c r="A8" s="170"/>
      <c r="B8" s="171"/>
      <c r="C8" s="172"/>
      <c r="D8" s="172"/>
      <c r="E8" s="172"/>
      <c r="F8" s="172"/>
      <c r="G8" s="172"/>
      <c r="H8" s="172"/>
      <c r="I8" s="173"/>
    </row>
    <row r="9" spans="1:9" ht="24" customHeight="1" x14ac:dyDescent="0.5">
      <c r="A9" s="170"/>
      <c r="B9" s="174"/>
      <c r="C9" s="172"/>
      <c r="D9" s="172"/>
      <c r="E9" s="172"/>
      <c r="F9" s="172"/>
      <c r="G9" s="172"/>
      <c r="H9" s="172"/>
      <c r="I9" s="173"/>
    </row>
    <row r="10" spans="1:9" x14ac:dyDescent="0.5">
      <c r="A10" s="170"/>
      <c r="B10" s="175"/>
      <c r="C10" s="172"/>
      <c r="D10" s="172"/>
      <c r="E10" s="172"/>
      <c r="F10" s="280"/>
      <c r="G10" s="172"/>
      <c r="H10" s="172"/>
      <c r="I10" s="173"/>
    </row>
    <row r="11" spans="1:9" x14ac:dyDescent="0.5">
      <c r="A11" s="176"/>
      <c r="B11" s="174"/>
      <c r="C11" s="172"/>
      <c r="D11" s="172"/>
      <c r="E11" s="172"/>
      <c r="F11" s="280"/>
      <c r="G11" s="172"/>
      <c r="H11" s="172"/>
      <c r="I11" s="173"/>
    </row>
    <row r="12" spans="1:9" x14ac:dyDescent="0.5">
      <c r="A12" s="170"/>
      <c r="B12" s="175"/>
      <c r="C12" s="172"/>
      <c r="D12" s="172"/>
      <c r="E12" s="172"/>
      <c r="F12" s="280"/>
      <c r="G12" s="172"/>
      <c r="H12" s="172"/>
      <c r="I12" s="173"/>
    </row>
    <row r="13" spans="1:9" x14ac:dyDescent="0.5">
      <c r="A13" s="177"/>
      <c r="B13" s="175"/>
      <c r="C13" s="172"/>
      <c r="D13" s="172"/>
      <c r="E13" s="172"/>
      <c r="F13" s="280"/>
      <c r="G13" s="172"/>
      <c r="H13" s="172"/>
      <c r="I13" s="173"/>
    </row>
    <row r="14" spans="1:9" x14ac:dyDescent="0.5">
      <c r="A14" s="177"/>
      <c r="B14" s="175"/>
      <c r="C14" s="172"/>
      <c r="D14" s="172"/>
      <c r="E14" s="172"/>
      <c r="F14" s="280"/>
      <c r="G14" s="172"/>
      <c r="H14" s="172"/>
      <c r="I14" s="173"/>
    </row>
    <row r="15" spans="1:9" x14ac:dyDescent="0.5">
      <c r="A15" s="176"/>
      <c r="B15" s="174"/>
      <c r="C15" s="172"/>
      <c r="D15" s="172"/>
      <c r="E15" s="172"/>
      <c r="F15" s="280"/>
      <c r="G15" s="172"/>
      <c r="H15" s="172"/>
      <c r="I15" s="173"/>
    </row>
    <row r="16" spans="1:9" x14ac:dyDescent="0.5">
      <c r="A16" s="170"/>
      <c r="B16" s="174"/>
      <c r="C16" s="178"/>
      <c r="D16" s="172"/>
      <c r="E16" s="172"/>
      <c r="F16" s="280"/>
      <c r="G16" s="172"/>
      <c r="H16" s="172"/>
      <c r="I16" s="173"/>
    </row>
    <row r="17" spans="1:9" x14ac:dyDescent="0.5">
      <c r="A17" s="176"/>
      <c r="B17" s="174"/>
      <c r="C17" s="172"/>
      <c r="D17" s="172"/>
      <c r="E17" s="172"/>
      <c r="F17" s="280"/>
      <c r="G17" s="172"/>
      <c r="H17" s="172"/>
      <c r="I17" s="173"/>
    </row>
    <row r="18" spans="1:9" x14ac:dyDescent="0.5">
      <c r="A18" s="176"/>
      <c r="B18" s="175"/>
      <c r="C18" s="172"/>
      <c r="D18" s="172"/>
      <c r="E18" s="172"/>
      <c r="F18" s="280"/>
      <c r="G18" s="172"/>
      <c r="H18" s="172"/>
      <c r="I18" s="173"/>
    </row>
    <row r="19" spans="1:9" x14ac:dyDescent="0.5">
      <c r="A19" s="176"/>
      <c r="B19" s="175"/>
      <c r="C19" s="172"/>
      <c r="D19" s="172"/>
      <c r="E19" s="172"/>
      <c r="F19" s="280"/>
      <c r="G19" s="172"/>
      <c r="H19" s="172"/>
      <c r="I19" s="173"/>
    </row>
    <row r="20" spans="1:9" x14ac:dyDescent="0.5">
      <c r="A20" s="170"/>
      <c r="B20" s="175"/>
      <c r="C20" s="172"/>
      <c r="D20" s="172"/>
      <c r="E20" s="172"/>
      <c r="F20" s="280"/>
      <c r="G20" s="172"/>
      <c r="H20" s="172"/>
      <c r="I20" s="173"/>
    </row>
    <row r="21" spans="1:9" x14ac:dyDescent="0.5">
      <c r="A21" s="176"/>
      <c r="B21" s="174"/>
      <c r="C21" s="172"/>
      <c r="D21" s="172"/>
      <c r="E21" s="172"/>
      <c r="F21" s="280"/>
      <c r="G21" s="172"/>
      <c r="H21" s="172"/>
      <c r="I21" s="173"/>
    </row>
    <row r="22" spans="1:9" x14ac:dyDescent="0.5">
      <c r="A22" s="176"/>
      <c r="B22" s="174"/>
      <c r="C22" s="172"/>
      <c r="D22" s="172"/>
      <c r="E22" s="172"/>
      <c r="F22" s="280"/>
      <c r="G22" s="172"/>
      <c r="H22" s="172"/>
      <c r="I22" s="173"/>
    </row>
    <row r="23" spans="1:9" x14ac:dyDescent="0.5">
      <c r="A23" s="176"/>
      <c r="B23" s="174"/>
      <c r="C23" s="172"/>
      <c r="D23" s="172"/>
      <c r="E23" s="172"/>
      <c r="F23" s="280"/>
      <c r="G23" s="172"/>
      <c r="H23" s="172"/>
      <c r="I23" s="173"/>
    </row>
    <row r="24" spans="1:9" x14ac:dyDescent="0.5">
      <c r="A24" s="176"/>
      <c r="B24" s="174"/>
      <c r="C24" s="172"/>
      <c r="D24" s="172"/>
      <c r="E24" s="172"/>
      <c r="F24" s="280"/>
      <c r="G24" s="172"/>
      <c r="H24" s="172"/>
      <c r="I24" s="173"/>
    </row>
    <row r="25" spans="1:9" x14ac:dyDescent="0.5">
      <c r="A25" s="176"/>
      <c r="B25" s="174"/>
      <c r="C25" s="172"/>
      <c r="D25" s="172"/>
      <c r="E25" s="172"/>
      <c r="F25" s="280"/>
      <c r="G25" s="172"/>
      <c r="H25" s="172"/>
      <c r="I25" s="173"/>
    </row>
    <row r="26" spans="1:9" x14ac:dyDescent="0.5">
      <c r="A26" s="176"/>
      <c r="B26" s="174"/>
      <c r="C26" s="172"/>
      <c r="D26" s="172"/>
      <c r="E26" s="172"/>
      <c r="F26" s="280"/>
      <c r="G26" s="172"/>
      <c r="H26" s="172"/>
      <c r="I26" s="173"/>
    </row>
    <row r="27" spans="1:9" x14ac:dyDescent="0.5">
      <c r="A27" s="176"/>
      <c r="B27" s="174"/>
      <c r="C27" s="172"/>
      <c r="D27" s="172"/>
      <c r="E27" s="172"/>
      <c r="F27" s="280"/>
      <c r="G27" s="172"/>
      <c r="H27" s="172"/>
      <c r="I27" s="173"/>
    </row>
    <row r="28" spans="1:9" x14ac:dyDescent="0.5">
      <c r="A28" s="176"/>
      <c r="B28" s="174"/>
      <c r="C28" s="172"/>
      <c r="D28" s="172"/>
      <c r="E28" s="172"/>
      <c r="F28" s="280"/>
      <c r="G28" s="172"/>
      <c r="H28" s="172"/>
      <c r="I28" s="173"/>
    </row>
    <row r="29" spans="1:9" x14ac:dyDescent="0.5">
      <c r="A29" s="176"/>
      <c r="B29" s="174"/>
      <c r="C29" s="172"/>
      <c r="D29" s="172"/>
      <c r="E29" s="172"/>
      <c r="F29" s="280"/>
      <c r="G29" s="172"/>
      <c r="H29" s="172"/>
      <c r="I29" s="173"/>
    </row>
    <row r="30" spans="1:9" x14ac:dyDescent="0.5">
      <c r="A30" s="176"/>
      <c r="B30" s="174"/>
      <c r="C30" s="172"/>
      <c r="D30" s="172"/>
      <c r="E30" s="172"/>
      <c r="F30" s="280"/>
      <c r="G30" s="172"/>
      <c r="H30" s="172"/>
      <c r="I30" s="173"/>
    </row>
    <row r="31" spans="1:9" x14ac:dyDescent="0.5">
      <c r="A31" s="176"/>
      <c r="B31" s="174"/>
      <c r="C31" s="172"/>
      <c r="D31" s="172"/>
      <c r="E31" s="172"/>
      <c r="F31" s="280"/>
      <c r="G31" s="172"/>
      <c r="H31" s="172"/>
      <c r="I31" s="173"/>
    </row>
    <row r="32" spans="1:9" x14ac:dyDescent="0.5">
      <c r="A32" s="176"/>
      <c r="B32" s="174"/>
      <c r="C32" s="172"/>
      <c r="D32" s="172"/>
      <c r="E32" s="172"/>
      <c r="F32" s="280"/>
      <c r="G32" s="172"/>
      <c r="H32" s="172"/>
      <c r="I32" s="173"/>
    </row>
    <row r="33" spans="1:9" x14ac:dyDescent="0.5">
      <c r="A33" s="176"/>
      <c r="B33" s="174"/>
      <c r="C33" s="172"/>
      <c r="D33" s="172"/>
      <c r="E33" s="172"/>
      <c r="F33" s="172"/>
      <c r="G33" s="172"/>
      <c r="H33" s="172"/>
      <c r="I33" s="173"/>
    </row>
    <row r="34" spans="1:9" x14ac:dyDescent="0.5">
      <c r="A34" s="179"/>
      <c r="B34" s="180"/>
      <c r="C34" s="164">
        <f>SUM(C7:C33)</f>
        <v>0</v>
      </c>
      <c r="D34" s="164">
        <f>SUM(D7:D33)</f>
        <v>0</v>
      </c>
      <c r="E34" s="164">
        <f>SUM(E7:E33)</f>
        <v>0</v>
      </c>
      <c r="F34" s="164">
        <f>SUM(F8:F33)</f>
        <v>0</v>
      </c>
      <c r="G34" s="164">
        <f>G7-F34</f>
        <v>2702950.7600000002</v>
      </c>
      <c r="H34" s="164">
        <f>SUM(H7:H33)</f>
        <v>0</v>
      </c>
      <c r="I34" s="157"/>
    </row>
    <row r="35" spans="1:9" x14ac:dyDescent="0.5">
      <c r="G35" s="94"/>
    </row>
    <row r="36" spans="1:9" x14ac:dyDescent="0.5">
      <c r="F36" s="94"/>
    </row>
  </sheetData>
  <mergeCells count="11">
    <mergeCell ref="A2:I2"/>
    <mergeCell ref="A3:I3"/>
    <mergeCell ref="A4:I4"/>
    <mergeCell ref="A5:A6"/>
    <mergeCell ref="B5:B6"/>
    <mergeCell ref="C5:D5"/>
    <mergeCell ref="E5:E6"/>
    <mergeCell ref="F5:F6"/>
    <mergeCell ref="G5:G6"/>
    <mergeCell ref="H5:H6"/>
    <mergeCell ref="I5:I6"/>
  </mergeCells>
  <pageMargins left="0.39370078740157483" right="0.39370078740157483" top="0.31496062992125984" bottom="0.31496062992125984" header="0.31496062992125984" footer="0.31496062992125984"/>
  <pageSetup paperSize="9" scale="95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zoomScaleNormal="100" workbookViewId="0">
      <selection activeCell="D19" sqref="D19"/>
    </sheetView>
  </sheetViews>
  <sheetFormatPr defaultRowHeight="23.25" x14ac:dyDescent="0.5"/>
  <cols>
    <col min="1" max="1" width="41.42578125" style="12" customWidth="1"/>
    <col min="2" max="2" width="10.28515625" style="51" customWidth="1"/>
    <col min="3" max="5" width="17.5703125" style="52" customWidth="1"/>
    <col min="6" max="6" width="16.7109375" style="52" customWidth="1"/>
    <col min="7" max="16384" width="9.140625" style="12"/>
  </cols>
  <sheetData>
    <row r="1" spans="1:6" x14ac:dyDescent="0.5">
      <c r="A1" s="497" t="s">
        <v>0</v>
      </c>
      <c r="B1" s="497"/>
      <c r="C1" s="497"/>
      <c r="D1" s="497"/>
      <c r="E1" s="497"/>
    </row>
    <row r="2" spans="1:6" x14ac:dyDescent="0.5">
      <c r="A2" s="497" t="s">
        <v>347</v>
      </c>
      <c r="B2" s="497"/>
      <c r="C2" s="497"/>
      <c r="D2" s="497"/>
      <c r="E2" s="497"/>
    </row>
    <row r="3" spans="1:6" x14ac:dyDescent="0.5">
      <c r="A3" s="505" t="str">
        <f>รายจ่ายรอจ่าย!B4</f>
        <v>ณ  วันที่  31 มีนาคม 2563</v>
      </c>
      <c r="B3" s="505"/>
      <c r="C3" s="505"/>
      <c r="D3" s="505"/>
      <c r="E3" s="505"/>
    </row>
    <row r="4" spans="1:6" s="17" customFormat="1" ht="34.5" customHeight="1" x14ac:dyDescent="0.2">
      <c r="A4" s="14" t="s">
        <v>6</v>
      </c>
      <c r="B4" s="15" t="s">
        <v>7</v>
      </c>
      <c r="C4" s="16" t="s">
        <v>3</v>
      </c>
      <c r="D4" s="16" t="s">
        <v>70</v>
      </c>
      <c r="E4" s="16" t="s">
        <v>71</v>
      </c>
      <c r="F4" s="236"/>
    </row>
    <row r="5" spans="1:6" x14ac:dyDescent="0.5">
      <c r="A5" s="18" t="s">
        <v>39</v>
      </c>
      <c r="B5" s="19"/>
      <c r="C5" s="20"/>
      <c r="D5" s="20"/>
      <c r="E5" s="20"/>
    </row>
    <row r="6" spans="1:6" x14ac:dyDescent="0.5">
      <c r="A6" s="9" t="s">
        <v>131</v>
      </c>
      <c r="B6" s="10" t="s">
        <v>383</v>
      </c>
      <c r="C6" s="11">
        <f>SUM(C7:C9)</f>
        <v>25000</v>
      </c>
      <c r="D6" s="11">
        <f>SUM(D7:D9)</f>
        <v>4857.6399999999994</v>
      </c>
      <c r="E6" s="11">
        <f>SUM(E7:E9)</f>
        <v>980</v>
      </c>
      <c r="F6" s="52">
        <f>D6-E6</f>
        <v>3877.6399999999994</v>
      </c>
    </row>
    <row r="7" spans="1:6" x14ac:dyDescent="0.5">
      <c r="A7" s="21" t="s">
        <v>132</v>
      </c>
      <c r="B7" s="22" t="s">
        <v>384</v>
      </c>
      <c r="C7" s="23">
        <v>10000</v>
      </c>
      <c r="D7" s="23">
        <f>E7</f>
        <v>0</v>
      </c>
      <c r="E7" s="23">
        <f>'ใบผ่าน 3'!F7</f>
        <v>0</v>
      </c>
      <c r="F7" s="52">
        <f t="shared" ref="F7:F52" si="0">D7-E7</f>
        <v>0</v>
      </c>
    </row>
    <row r="8" spans="1:6" x14ac:dyDescent="0.5">
      <c r="A8" s="24" t="s">
        <v>133</v>
      </c>
      <c r="B8" s="25" t="s">
        <v>385</v>
      </c>
      <c r="C8" s="26">
        <v>10000</v>
      </c>
      <c r="D8" s="23">
        <f>E8+126+760.64+416+163+12</f>
        <v>2057.64</v>
      </c>
      <c r="E8" s="23">
        <f>'ใบผ่าน 3'!F8</f>
        <v>580</v>
      </c>
      <c r="F8" s="52">
        <f t="shared" si="0"/>
        <v>1477.6399999999999</v>
      </c>
    </row>
    <row r="9" spans="1:6" x14ac:dyDescent="0.5">
      <c r="A9" s="24" t="s">
        <v>134</v>
      </c>
      <c r="B9" s="25" t="s">
        <v>386</v>
      </c>
      <c r="C9" s="26">
        <v>5000</v>
      </c>
      <c r="D9" s="23">
        <f>E9+200+2200</f>
        <v>2800</v>
      </c>
      <c r="E9" s="23">
        <f>'ใบผ่าน 3'!F9</f>
        <v>400</v>
      </c>
      <c r="F9" s="52">
        <f t="shared" si="0"/>
        <v>2400</v>
      </c>
    </row>
    <row r="10" spans="1:6" x14ac:dyDescent="0.5">
      <c r="A10" s="9" t="s">
        <v>135</v>
      </c>
      <c r="B10" s="10" t="s">
        <v>387</v>
      </c>
      <c r="C10" s="11">
        <f>SUM(C11:C17)</f>
        <v>525000</v>
      </c>
      <c r="D10" s="11">
        <f>SUM(D11:D17)</f>
        <v>24780</v>
      </c>
      <c r="E10" s="11">
        <f>SUM(E11:E17)</f>
        <v>21100</v>
      </c>
      <c r="F10" s="52">
        <f t="shared" si="0"/>
        <v>3680</v>
      </c>
    </row>
    <row r="11" spans="1:6" x14ac:dyDescent="0.5">
      <c r="A11" s="21" t="s">
        <v>136</v>
      </c>
      <c r="B11" s="22" t="s">
        <v>388</v>
      </c>
      <c r="C11" s="23">
        <v>275000</v>
      </c>
      <c r="D11" s="23">
        <f>E11</f>
        <v>20400</v>
      </c>
      <c r="E11" s="23">
        <f>'ใบผ่าน 3'!F10</f>
        <v>20400</v>
      </c>
      <c r="F11" s="52">
        <f t="shared" si="0"/>
        <v>0</v>
      </c>
    </row>
    <row r="12" spans="1:6" x14ac:dyDescent="0.5">
      <c r="A12" s="24" t="s">
        <v>389</v>
      </c>
      <c r="B12" s="25" t="s">
        <v>390</v>
      </c>
      <c r="C12" s="26">
        <v>5000</v>
      </c>
      <c r="D12" s="23">
        <f>E12+120+50+70</f>
        <v>340</v>
      </c>
      <c r="E12" s="23">
        <f>'ใบผ่าน 3'!F11</f>
        <v>100</v>
      </c>
      <c r="F12" s="52">
        <f t="shared" si="0"/>
        <v>240</v>
      </c>
    </row>
    <row r="13" spans="1:6" x14ac:dyDescent="0.5">
      <c r="A13" s="24" t="s">
        <v>391</v>
      </c>
      <c r="B13" s="25" t="s">
        <v>392</v>
      </c>
      <c r="C13" s="26">
        <v>120000</v>
      </c>
      <c r="D13" s="23">
        <f t="shared" ref="D13:D17" si="1">E13</f>
        <v>0</v>
      </c>
      <c r="E13" s="23">
        <f>'ใบผ่าน 3'!F12</f>
        <v>0</v>
      </c>
      <c r="F13" s="52">
        <f t="shared" si="0"/>
        <v>0</v>
      </c>
    </row>
    <row r="14" spans="1:6" x14ac:dyDescent="0.5">
      <c r="A14" s="24" t="s">
        <v>393</v>
      </c>
      <c r="B14" s="25" t="s">
        <v>394</v>
      </c>
      <c r="C14" s="26">
        <v>50000</v>
      </c>
      <c r="D14" s="23">
        <f>E14+600+220+300+1720+600</f>
        <v>4040</v>
      </c>
      <c r="E14" s="23">
        <f>'ใบผ่าน 3'!F13</f>
        <v>600</v>
      </c>
      <c r="F14" s="52">
        <f>D14-E14</f>
        <v>3440</v>
      </c>
    </row>
    <row r="15" spans="1:6" x14ac:dyDescent="0.5">
      <c r="A15" s="24" t="s">
        <v>395</v>
      </c>
      <c r="B15" s="25" t="s">
        <v>396</v>
      </c>
      <c r="C15" s="26">
        <v>50000</v>
      </c>
      <c r="D15" s="23">
        <f t="shared" si="1"/>
        <v>0</v>
      </c>
      <c r="E15" s="23">
        <f>'ใบผ่าน 3'!F14</f>
        <v>0</v>
      </c>
      <c r="F15" s="52">
        <f>D15-E15</f>
        <v>0</v>
      </c>
    </row>
    <row r="16" spans="1:6" x14ac:dyDescent="0.5">
      <c r="A16" s="24" t="s">
        <v>397</v>
      </c>
      <c r="B16" s="25" t="s">
        <v>398</v>
      </c>
      <c r="C16" s="26">
        <v>20000</v>
      </c>
      <c r="D16" s="23">
        <f t="shared" si="1"/>
        <v>0</v>
      </c>
      <c r="E16" s="23">
        <f>'ใบผ่าน 3'!F15</f>
        <v>0</v>
      </c>
      <c r="F16" s="52">
        <f>D16-E16</f>
        <v>0</v>
      </c>
    </row>
    <row r="17" spans="1:6" x14ac:dyDescent="0.5">
      <c r="A17" s="395" t="s">
        <v>399</v>
      </c>
      <c r="B17" s="25" t="s">
        <v>400</v>
      </c>
      <c r="C17" s="26">
        <v>5000</v>
      </c>
      <c r="D17" s="23">
        <f t="shared" si="1"/>
        <v>0</v>
      </c>
      <c r="E17" s="23">
        <f>'ใบผ่าน 3'!F16</f>
        <v>0</v>
      </c>
      <c r="F17" s="52">
        <f t="shared" si="0"/>
        <v>0</v>
      </c>
    </row>
    <row r="18" spans="1:6" x14ac:dyDescent="0.5">
      <c r="A18" s="9" t="s">
        <v>137</v>
      </c>
      <c r="B18" s="10" t="s">
        <v>402</v>
      </c>
      <c r="C18" s="11">
        <f>SUM(C19)</f>
        <v>100000</v>
      </c>
      <c r="D18" s="11">
        <f>SUM(D19:D20)</f>
        <v>79663.689999999988</v>
      </c>
      <c r="E18" s="11">
        <f>SUM(E19:E20)</f>
        <v>5128.24</v>
      </c>
      <c r="F18" s="52">
        <f t="shared" si="0"/>
        <v>74535.449999999983</v>
      </c>
    </row>
    <row r="19" spans="1:6" x14ac:dyDescent="0.5">
      <c r="A19" s="30" t="s">
        <v>138</v>
      </c>
      <c r="B19" s="19" t="s">
        <v>401</v>
      </c>
      <c r="C19" s="20">
        <v>100000</v>
      </c>
      <c r="D19" s="20">
        <f>E19+2879.65+3923.15+67732.65</f>
        <v>79663.689999999988</v>
      </c>
      <c r="E19" s="20">
        <f>'ใบผ่าน 3'!F17</f>
        <v>5128.24</v>
      </c>
      <c r="F19" s="52">
        <f t="shared" si="0"/>
        <v>74535.449999999983</v>
      </c>
    </row>
    <row r="20" spans="1:6" x14ac:dyDescent="0.5">
      <c r="A20" s="30"/>
      <c r="B20" s="19"/>
      <c r="C20" s="20"/>
      <c r="D20" s="20"/>
      <c r="E20" s="20"/>
      <c r="F20" s="52">
        <f t="shared" si="0"/>
        <v>0</v>
      </c>
    </row>
    <row r="21" spans="1:6" x14ac:dyDescent="0.5">
      <c r="A21" s="9" t="s">
        <v>139</v>
      </c>
      <c r="B21" s="10" t="s">
        <v>403</v>
      </c>
      <c r="C21" s="11">
        <f>SUM(C22)</f>
        <v>1000000</v>
      </c>
      <c r="D21" s="11">
        <f>SUM(D22:D22)</f>
        <v>479757</v>
      </c>
      <c r="E21" s="11">
        <f>SUM(E22:E22)</f>
        <v>81914</v>
      </c>
      <c r="F21" s="52">
        <f t="shared" si="0"/>
        <v>397843</v>
      </c>
    </row>
    <row r="22" spans="1:6" x14ac:dyDescent="0.5">
      <c r="A22" s="30" t="s">
        <v>140</v>
      </c>
      <c r="B22" s="19" t="s">
        <v>404</v>
      </c>
      <c r="C22" s="20">
        <v>1000000</v>
      </c>
      <c r="D22" s="20">
        <f>E22+63529+98622+75663+88625+71404</f>
        <v>479757</v>
      </c>
      <c r="E22" s="20">
        <f>'ใบผ่าน 3'!F18</f>
        <v>81914</v>
      </c>
      <c r="F22" s="52">
        <f t="shared" si="0"/>
        <v>397843</v>
      </c>
    </row>
    <row r="23" spans="1:6" x14ac:dyDescent="0.5">
      <c r="A23" s="9" t="s">
        <v>141</v>
      </c>
      <c r="B23" s="10" t="s">
        <v>405</v>
      </c>
      <c r="C23" s="11">
        <f>SUM(C24:C25)</f>
        <v>30000</v>
      </c>
      <c r="D23" s="11">
        <f>SUM(D24:D25)</f>
        <v>85518.75</v>
      </c>
      <c r="E23" s="11">
        <f>SUM(E24:E25)</f>
        <v>0</v>
      </c>
      <c r="F23" s="52">
        <f t="shared" si="0"/>
        <v>85518.75</v>
      </c>
    </row>
    <row r="24" spans="1:6" x14ac:dyDescent="0.5">
      <c r="A24" s="21" t="s">
        <v>142</v>
      </c>
      <c r="B24" s="22" t="s">
        <v>406</v>
      </c>
      <c r="C24" s="23">
        <v>10000</v>
      </c>
      <c r="D24" s="23">
        <f>E24+6000+3000</f>
        <v>9000</v>
      </c>
      <c r="E24" s="23">
        <f>'ใบผ่าน 3'!F19</f>
        <v>0</v>
      </c>
      <c r="F24" s="52">
        <f t="shared" si="0"/>
        <v>9000</v>
      </c>
    </row>
    <row r="25" spans="1:6" x14ac:dyDescent="0.5">
      <c r="A25" s="24" t="s">
        <v>143</v>
      </c>
      <c r="B25" s="25" t="s">
        <v>407</v>
      </c>
      <c r="C25" s="26">
        <v>20000</v>
      </c>
      <c r="D25" s="23">
        <f>E25+26200+16200+9000+25118.75</f>
        <v>76518.75</v>
      </c>
      <c r="E25" s="23">
        <f>'ใบผ่าน 3'!F20</f>
        <v>0</v>
      </c>
      <c r="F25" s="52">
        <f t="shared" si="0"/>
        <v>76518.75</v>
      </c>
    </row>
    <row r="26" spans="1:6" x14ac:dyDescent="0.5">
      <c r="A26" s="9" t="s">
        <v>144</v>
      </c>
      <c r="B26" s="10" t="s">
        <v>408</v>
      </c>
      <c r="C26" s="11">
        <f>SUM(C27:C34)</f>
        <v>17320000</v>
      </c>
      <c r="D26" s="11">
        <f>SUM(D27:D34)</f>
        <v>7349161.6500000004</v>
      </c>
      <c r="E26" s="11">
        <f>SUM(E27:E34)</f>
        <v>495523.43999999994</v>
      </c>
      <c r="F26" s="52">
        <f t="shared" si="0"/>
        <v>6853638.2100000009</v>
      </c>
    </row>
    <row r="27" spans="1:6" x14ac:dyDescent="0.5">
      <c r="A27" s="31" t="s">
        <v>410</v>
      </c>
      <c r="B27" s="32" t="s">
        <v>409</v>
      </c>
      <c r="C27" s="33">
        <v>200000</v>
      </c>
      <c r="D27" s="23">
        <f>E27+21538.34+31531.51+39757.72+17600.33</f>
        <v>110427.90000000001</v>
      </c>
      <c r="E27" s="33">
        <f>'ใบผ่าน 3'!F21</f>
        <v>0</v>
      </c>
      <c r="F27" s="52">
        <f>D27-E27</f>
        <v>110427.90000000001</v>
      </c>
    </row>
    <row r="28" spans="1:6" x14ac:dyDescent="0.5">
      <c r="A28" s="21" t="s">
        <v>411</v>
      </c>
      <c r="B28" s="22" t="s">
        <v>413</v>
      </c>
      <c r="C28" s="23">
        <v>9500000</v>
      </c>
      <c r="D28" s="23">
        <f>E28+733727.27+716806.39+685841.68+1499574.2</f>
        <v>3635949.54</v>
      </c>
      <c r="E28" s="23">
        <f>'ใบผ่าน 3'!F22</f>
        <v>0</v>
      </c>
      <c r="F28" s="52">
        <f t="shared" si="0"/>
        <v>3635949.54</v>
      </c>
    </row>
    <row r="29" spans="1:6" x14ac:dyDescent="0.5">
      <c r="A29" s="24" t="s">
        <v>412</v>
      </c>
      <c r="B29" s="22" t="s">
        <v>414</v>
      </c>
      <c r="C29" s="26">
        <v>2800000</v>
      </c>
      <c r="D29" s="23">
        <f>E29+365747.27+192784.3+209549.97+200920.01</f>
        <v>1088330.9099999999</v>
      </c>
      <c r="E29" s="23">
        <f>'ใบผ่าน 3'!F23</f>
        <v>119329.36</v>
      </c>
      <c r="F29" s="52">
        <f t="shared" si="0"/>
        <v>969001.54999999993</v>
      </c>
    </row>
    <row r="30" spans="1:6" x14ac:dyDescent="0.5">
      <c r="A30" s="24" t="s">
        <v>417</v>
      </c>
      <c r="B30" s="22" t="s">
        <v>415</v>
      </c>
      <c r="C30" s="26">
        <v>50000</v>
      </c>
      <c r="D30" s="23">
        <v>8628.74</v>
      </c>
      <c r="E30" s="23">
        <f>'ใบผ่าน 3'!F24</f>
        <v>0</v>
      </c>
      <c r="F30" s="52">
        <f t="shared" si="0"/>
        <v>8628.74</v>
      </c>
    </row>
    <row r="31" spans="1:6" x14ac:dyDescent="0.5">
      <c r="A31" s="24" t="s">
        <v>145</v>
      </c>
      <c r="B31" s="22" t="s">
        <v>416</v>
      </c>
      <c r="C31" s="26">
        <v>4700000</v>
      </c>
      <c r="D31" s="23">
        <f>E31+866846.89+397800.96+382256.12+432969.07</f>
        <v>2448362.9</v>
      </c>
      <c r="E31" s="23">
        <f>'ใบผ่าน 3'!F25</f>
        <v>368489.86</v>
      </c>
      <c r="F31" s="52">
        <f t="shared" si="0"/>
        <v>2079873.04</v>
      </c>
    </row>
    <row r="32" spans="1:6" x14ac:dyDescent="0.5">
      <c r="A32" s="24" t="s">
        <v>146</v>
      </c>
      <c r="B32" s="22" t="s">
        <v>418</v>
      </c>
      <c r="C32" s="26">
        <v>30000</v>
      </c>
      <c r="D32" s="23">
        <f>E32+10372.2</f>
        <v>18076.420000000002</v>
      </c>
      <c r="E32" s="23">
        <f>'ใบผ่าน 3'!F26</f>
        <v>7704.22</v>
      </c>
      <c r="F32" s="52">
        <f t="shared" si="0"/>
        <v>10372.200000000001</v>
      </c>
    </row>
    <row r="33" spans="1:6" x14ac:dyDescent="0.5">
      <c r="A33" s="24" t="s">
        <v>284</v>
      </c>
      <c r="B33" s="25" t="s">
        <v>419</v>
      </c>
      <c r="C33" s="26">
        <v>30000</v>
      </c>
      <c r="D33" s="23">
        <f>E33+11080.3+9220.11</f>
        <v>20300.41</v>
      </c>
      <c r="E33" s="23">
        <f>'ใบผ่าน 3'!F27</f>
        <v>0</v>
      </c>
      <c r="F33" s="52">
        <f t="shared" si="0"/>
        <v>20300.41</v>
      </c>
    </row>
    <row r="34" spans="1:6" x14ac:dyDescent="0.5">
      <c r="A34" s="24" t="s">
        <v>285</v>
      </c>
      <c r="B34" s="25" t="s">
        <v>420</v>
      </c>
      <c r="C34" s="26">
        <v>10000</v>
      </c>
      <c r="D34" s="23">
        <f>E34+87.3+18182.73+727.5+87.3</f>
        <v>19084.829999999998</v>
      </c>
      <c r="E34" s="23">
        <f>'ใบผ่าน 3'!F28</f>
        <v>0</v>
      </c>
      <c r="F34" s="52">
        <f t="shared" si="0"/>
        <v>19084.829999999998</v>
      </c>
    </row>
    <row r="35" spans="1:6" x14ac:dyDescent="0.5">
      <c r="A35" s="35" t="s">
        <v>421</v>
      </c>
      <c r="B35" s="10" t="s">
        <v>422</v>
      </c>
      <c r="C35" s="36">
        <f>SUM(C36)</f>
        <v>21702563</v>
      </c>
      <c r="D35" s="36">
        <f>SUM(D36:D36)</f>
        <v>7836259.4199999999</v>
      </c>
      <c r="E35" s="36">
        <f>SUM(E36:E36)</f>
        <v>582700</v>
      </c>
      <c r="F35" s="52">
        <f t="shared" si="0"/>
        <v>7253559.4199999999</v>
      </c>
    </row>
    <row r="36" spans="1:6" x14ac:dyDescent="0.5">
      <c r="A36" s="511" t="s">
        <v>424</v>
      </c>
      <c r="B36" s="513" t="s">
        <v>423</v>
      </c>
      <c r="C36" s="515">
        <v>21702563</v>
      </c>
      <c r="D36" s="515">
        <f>E36+4269134.42+502720+1905305+576400</f>
        <v>7836259.4199999999</v>
      </c>
      <c r="E36" s="515">
        <f>'ใบผ่าน 3'!F29</f>
        <v>582700</v>
      </c>
      <c r="F36" s="52">
        <f t="shared" si="0"/>
        <v>7253559.4199999999</v>
      </c>
    </row>
    <row r="37" spans="1:6" x14ac:dyDescent="0.5">
      <c r="A37" s="512"/>
      <c r="B37" s="514"/>
      <c r="C37" s="516"/>
      <c r="D37" s="516"/>
      <c r="E37" s="516"/>
    </row>
    <row r="38" spans="1:6" s="43" customFormat="1" x14ac:dyDescent="0.5">
      <c r="A38" s="35" t="s">
        <v>181</v>
      </c>
      <c r="B38" s="396"/>
      <c r="C38" s="42">
        <f>SUM(C39:C39)</f>
        <v>0</v>
      </c>
      <c r="D38" s="42">
        <f>+E38</f>
        <v>21708</v>
      </c>
      <c r="E38" s="42">
        <f>+E39</f>
        <v>21708</v>
      </c>
      <c r="F38" s="52">
        <f t="shared" si="0"/>
        <v>0</v>
      </c>
    </row>
    <row r="39" spans="1:6" x14ac:dyDescent="0.5">
      <c r="A39" s="384" t="s">
        <v>468</v>
      </c>
      <c r="B39" s="45"/>
      <c r="C39" s="37"/>
      <c r="D39" s="37">
        <f>+E39</f>
        <v>21708</v>
      </c>
      <c r="E39" s="38">
        <v>21708</v>
      </c>
      <c r="F39" s="52">
        <f t="shared" si="0"/>
        <v>0</v>
      </c>
    </row>
    <row r="40" spans="1:6" s="43" customFormat="1" x14ac:dyDescent="0.5">
      <c r="A40" s="35" t="s">
        <v>182</v>
      </c>
      <c r="B40" s="10"/>
      <c r="C40" s="36">
        <f>SUM(C41:C45)</f>
        <v>0</v>
      </c>
      <c r="D40" s="36">
        <f>SUM(D41:D49)</f>
        <v>251238.44999999998</v>
      </c>
      <c r="E40" s="36">
        <f>SUM(E41:E50)</f>
        <v>24463.58</v>
      </c>
      <c r="F40" s="52">
        <f t="shared" si="0"/>
        <v>226774.87</v>
      </c>
    </row>
    <row r="41" spans="1:6" x14ac:dyDescent="0.5">
      <c r="A41" s="44" t="s">
        <v>183</v>
      </c>
      <c r="B41" s="45"/>
      <c r="C41" s="37"/>
      <c r="D41" s="37">
        <f>E41+7366.24+3299.04+11951.76+2768.74+8149.75</f>
        <v>42155.11</v>
      </c>
      <c r="E41" s="38">
        <f>เงินรับฝาก!D6</f>
        <v>8619.58</v>
      </c>
      <c r="F41" s="52">
        <f>D41-E41</f>
        <v>33535.53</v>
      </c>
    </row>
    <row r="42" spans="1:6" x14ac:dyDescent="0.5">
      <c r="A42" s="29" t="s">
        <v>184</v>
      </c>
      <c r="B42" s="47"/>
      <c r="C42" s="40"/>
      <c r="D42" s="40">
        <f>E42+66275+30000</f>
        <v>96275</v>
      </c>
      <c r="E42" s="26">
        <f>เงินรับฝาก!D9</f>
        <v>0</v>
      </c>
      <c r="F42" s="52">
        <f t="shared" si="0"/>
        <v>96275</v>
      </c>
    </row>
    <row r="43" spans="1:6" x14ac:dyDescent="0.5">
      <c r="A43" s="29" t="s">
        <v>185</v>
      </c>
      <c r="B43" s="47"/>
      <c r="C43" s="40"/>
      <c r="D43" s="40">
        <f>E43</f>
        <v>0</v>
      </c>
      <c r="E43" s="26">
        <f>เงินรับฝาก!D7</f>
        <v>0</v>
      </c>
      <c r="F43" s="52">
        <f t="shared" si="0"/>
        <v>0</v>
      </c>
    </row>
    <row r="44" spans="1:6" x14ac:dyDescent="0.5">
      <c r="A44" s="29" t="s">
        <v>186</v>
      </c>
      <c r="B44" s="47"/>
      <c r="C44" s="40"/>
      <c r="D44" s="40">
        <f>E44+59.28+33.06</f>
        <v>92.34</v>
      </c>
      <c r="E44" s="26">
        <f>เงินรับฝาก!D8</f>
        <v>0</v>
      </c>
      <c r="F44" s="52">
        <f t="shared" si="0"/>
        <v>92.34</v>
      </c>
    </row>
    <row r="45" spans="1:6" x14ac:dyDescent="0.5">
      <c r="A45" s="29" t="s">
        <v>187</v>
      </c>
      <c r="B45" s="47"/>
      <c r="C45" s="40"/>
      <c r="D45" s="40">
        <f>E45+6666</f>
        <v>6666</v>
      </c>
      <c r="E45" s="26">
        <f>ใบผ่าน1!F26</f>
        <v>0</v>
      </c>
      <c r="F45" s="52">
        <f t="shared" si="0"/>
        <v>6666</v>
      </c>
    </row>
    <row r="46" spans="1:6" x14ac:dyDescent="0.5">
      <c r="A46" s="29" t="s">
        <v>230</v>
      </c>
      <c r="B46" s="48"/>
      <c r="C46" s="41"/>
      <c r="D46" s="40">
        <f>E46</f>
        <v>0</v>
      </c>
      <c r="E46" s="33">
        <f>เงินรับฝาก!D14</f>
        <v>0</v>
      </c>
      <c r="F46" s="52">
        <f t="shared" si="0"/>
        <v>0</v>
      </c>
    </row>
    <row r="47" spans="1:6" x14ac:dyDescent="0.5">
      <c r="A47" s="24" t="s">
        <v>218</v>
      </c>
      <c r="B47" s="25"/>
      <c r="C47" s="40"/>
      <c r="D47" s="40">
        <f>E47+15355+14691+19876+19810+19810+664</f>
        <v>106050</v>
      </c>
      <c r="E47" s="26">
        <f>เงินรับฝาก!D10</f>
        <v>15844</v>
      </c>
      <c r="F47" s="52">
        <f t="shared" si="0"/>
        <v>90206</v>
      </c>
    </row>
    <row r="48" spans="1:6" x14ac:dyDescent="0.5">
      <c r="A48" s="29" t="s">
        <v>293</v>
      </c>
      <c r="B48" s="49"/>
      <c r="C48" s="40"/>
      <c r="D48" s="40"/>
      <c r="E48" s="26">
        <f>เงินรับฝาก!D16</f>
        <v>0</v>
      </c>
      <c r="F48" s="52">
        <f t="shared" si="0"/>
        <v>0</v>
      </c>
    </row>
    <row r="49" spans="1:6" x14ac:dyDescent="0.5">
      <c r="A49" s="29" t="s">
        <v>350</v>
      </c>
      <c r="B49" s="49"/>
      <c r="C49" s="40"/>
      <c r="D49" s="40">
        <f>E49</f>
        <v>0</v>
      </c>
      <c r="E49" s="33">
        <f>เงินรับฝาก!D17</f>
        <v>0</v>
      </c>
    </row>
    <row r="50" spans="1:6" x14ac:dyDescent="0.5">
      <c r="A50" s="29" t="s">
        <v>461</v>
      </c>
      <c r="B50" s="49"/>
      <c r="C50" s="455"/>
      <c r="D50" s="450">
        <v>499800</v>
      </c>
      <c r="E50" s="40">
        <v>0</v>
      </c>
    </row>
    <row r="51" spans="1:6" x14ac:dyDescent="0.5">
      <c r="A51" s="495" t="s">
        <v>188</v>
      </c>
      <c r="B51" s="510"/>
      <c r="C51" s="11">
        <f>C6+C10+C18+C21+C23+C26+C35</f>
        <v>40702563</v>
      </c>
      <c r="D51" s="11">
        <f>D6+D10+D18+D21+D23+D26+D35+D38</f>
        <v>15881706.15</v>
      </c>
      <c r="E51" s="11">
        <f>E6+E10+E18+E21+E23+E26+E35+E38</f>
        <v>1209053.68</v>
      </c>
      <c r="F51" s="52">
        <f t="shared" si="0"/>
        <v>14672652.470000001</v>
      </c>
    </row>
    <row r="52" spans="1:6" x14ac:dyDescent="0.5">
      <c r="A52" s="495" t="s">
        <v>40</v>
      </c>
      <c r="B52" s="496"/>
      <c r="C52" s="11">
        <f>C51+C38+C40</f>
        <v>40702563</v>
      </c>
      <c r="D52" s="11">
        <f>D51+D38+D40</f>
        <v>16154652.6</v>
      </c>
      <c r="E52" s="11">
        <f>E38+E40+E51</f>
        <v>1255225.26</v>
      </c>
      <c r="F52" s="52">
        <f t="shared" si="0"/>
        <v>14899427.34</v>
      </c>
    </row>
    <row r="53" spans="1:6" x14ac:dyDescent="0.5">
      <c r="E53" s="52">
        <f>+'ใบผ่าน 3'!F32</f>
        <v>1209053.68</v>
      </c>
    </row>
    <row r="54" spans="1:6" x14ac:dyDescent="0.5">
      <c r="D54" s="52">
        <f>+D52</f>
        <v>16154652.6</v>
      </c>
      <c r="E54" s="52">
        <f>+E51-E53</f>
        <v>0</v>
      </c>
    </row>
    <row r="55" spans="1:6" x14ac:dyDescent="0.5">
      <c r="D55" s="52">
        <v>11955864.74</v>
      </c>
    </row>
    <row r="56" spans="1:6" x14ac:dyDescent="0.5">
      <c r="D56" s="52">
        <f>+D54-D55</f>
        <v>4198787.8599999994</v>
      </c>
    </row>
  </sheetData>
  <mergeCells count="10">
    <mergeCell ref="A1:E1"/>
    <mergeCell ref="A2:E2"/>
    <mergeCell ref="A3:E3"/>
    <mergeCell ref="A51:B51"/>
    <mergeCell ref="A52:B52"/>
    <mergeCell ref="A36:A37"/>
    <mergeCell ref="B36:B37"/>
    <mergeCell ref="C36:C37"/>
    <mergeCell ref="D36:D37"/>
    <mergeCell ref="E36:E37"/>
  </mergeCells>
  <phoneticPr fontId="2" type="noConversion"/>
  <printOptions horizontalCentered="1"/>
  <pageMargins left="0.47244094488188981" right="0.35433070866141736" top="0.55118110236220474" bottom="0.47244094488188981" header="0.31496062992125984" footer="0.15748031496062992"/>
  <pageSetup paperSize="9" scale="80" orientation="portrait" horizontalDpi="4294967293" vertic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9"/>
  <sheetViews>
    <sheetView topLeftCell="A85" zoomScaleNormal="100" zoomScalePageLayoutView="90" workbookViewId="0">
      <selection activeCell="F89" sqref="F89"/>
    </sheetView>
  </sheetViews>
  <sheetFormatPr defaultRowHeight="21.75" customHeight="1" x14ac:dyDescent="0.5"/>
  <cols>
    <col min="1" max="1" width="17.85546875" style="52" customWidth="1"/>
    <col min="2" max="2" width="18.28515625" style="52" customWidth="1"/>
    <col min="3" max="3" width="44.85546875" style="12" customWidth="1"/>
    <col min="4" max="4" width="18" style="220" customWidth="1"/>
    <col min="5" max="5" width="19.7109375" style="52" customWidth="1"/>
    <col min="6" max="6" width="18.140625" style="52" customWidth="1"/>
    <col min="7" max="7" width="17" style="12" customWidth="1"/>
    <col min="8" max="8" width="15.7109375" style="12" customWidth="1"/>
    <col min="9" max="9" width="18.7109375" style="12" customWidth="1"/>
    <col min="10" max="16384" width="9.140625" style="12"/>
  </cols>
  <sheetData>
    <row r="1" spans="1:7" ht="21.75" customHeight="1" x14ac:dyDescent="0.5">
      <c r="A1" s="52" t="s">
        <v>0</v>
      </c>
      <c r="D1" s="530" t="str">
        <f>บัญชีรายรับ!A3</f>
        <v>ณ  วันที่  31 มีนาคม 2563</v>
      </c>
      <c r="E1" s="530"/>
    </row>
    <row r="2" spans="1:7" s="129" customFormat="1" ht="21.75" customHeight="1" x14ac:dyDescent="0.2">
      <c r="A2" s="531" t="s">
        <v>1</v>
      </c>
      <c r="B2" s="531"/>
      <c r="C2" s="531"/>
      <c r="D2" s="531"/>
      <c r="E2" s="531"/>
      <c r="F2" s="181"/>
    </row>
    <row r="3" spans="1:7" ht="21.75" customHeight="1" x14ac:dyDescent="0.5">
      <c r="D3" s="532" t="s">
        <v>450</v>
      </c>
      <c r="E3" s="532"/>
    </row>
    <row r="4" spans="1:7" s="184" customFormat="1" ht="21.75" customHeight="1" x14ac:dyDescent="0.2">
      <c r="A4" s="523" t="s">
        <v>2</v>
      </c>
      <c r="B4" s="523"/>
      <c r="C4" s="524" t="s">
        <v>6</v>
      </c>
      <c r="D4" s="527" t="s">
        <v>7</v>
      </c>
      <c r="E4" s="182" t="s">
        <v>8</v>
      </c>
      <c r="F4" s="183"/>
    </row>
    <row r="5" spans="1:7" s="184" customFormat="1" ht="21.75" customHeight="1" x14ac:dyDescent="0.2">
      <c r="A5" s="185" t="s">
        <v>3</v>
      </c>
      <c r="B5" s="185" t="s">
        <v>5</v>
      </c>
      <c r="C5" s="525"/>
      <c r="D5" s="528"/>
      <c r="E5" s="185" t="s">
        <v>5</v>
      </c>
      <c r="F5" s="183"/>
    </row>
    <row r="6" spans="1:7" s="184" customFormat="1" ht="21.75" customHeight="1" x14ac:dyDescent="0.2">
      <c r="A6" s="186" t="s">
        <v>4</v>
      </c>
      <c r="B6" s="186" t="s">
        <v>4</v>
      </c>
      <c r="C6" s="526"/>
      <c r="D6" s="529"/>
      <c r="E6" s="186" t="s">
        <v>4</v>
      </c>
      <c r="F6" s="187" t="s">
        <v>345</v>
      </c>
    </row>
    <row r="7" spans="1:7" ht="21.75" customHeight="1" x14ac:dyDescent="0.5">
      <c r="A7" s="23"/>
      <c r="B7" s="23">
        <v>14636371.199999999</v>
      </c>
      <c r="C7" s="188" t="s">
        <v>9</v>
      </c>
      <c r="D7" s="22"/>
      <c r="E7" s="23">
        <f>B7-1450370.15</f>
        <v>13186001.049999999</v>
      </c>
      <c r="F7" s="70" t="s">
        <v>346</v>
      </c>
      <c r="G7" s="94"/>
    </row>
    <row r="8" spans="1:7" ht="21.75" customHeight="1" x14ac:dyDescent="0.5">
      <c r="A8" s="26"/>
      <c r="B8" s="26"/>
      <c r="C8" s="189" t="s">
        <v>355</v>
      </c>
      <c r="D8" s="25"/>
      <c r="E8" s="26"/>
    </row>
    <row r="9" spans="1:7" ht="21.75" customHeight="1" x14ac:dyDescent="0.5">
      <c r="A9" s="26">
        <v>25000</v>
      </c>
      <c r="B9" s="26">
        <f>E9+126+760.64+416+363+2212</f>
        <v>4857.6399999999994</v>
      </c>
      <c r="C9" s="29" t="s">
        <v>10</v>
      </c>
      <c r="D9" s="25" t="s">
        <v>17</v>
      </c>
      <c r="E9" s="26">
        <f>บัญชีรายรับ!E6</f>
        <v>980</v>
      </c>
    </row>
    <row r="10" spans="1:7" ht="21.75" customHeight="1" x14ac:dyDescent="0.5">
      <c r="A10" s="26">
        <v>525000</v>
      </c>
      <c r="B10" s="26">
        <f>E10+720+220+300+1770+670</f>
        <v>24780</v>
      </c>
      <c r="C10" s="29" t="s">
        <v>11</v>
      </c>
      <c r="D10" s="25" t="s">
        <v>18</v>
      </c>
      <c r="E10" s="26">
        <f>บัญชีรายรับ!E10</f>
        <v>21100</v>
      </c>
    </row>
    <row r="11" spans="1:7" ht="21.75" customHeight="1" x14ac:dyDescent="0.5">
      <c r="A11" s="26">
        <v>100000</v>
      </c>
      <c r="B11" s="26">
        <f>E11+2879.65+24375.34+43357.31</f>
        <v>75740.539999999994</v>
      </c>
      <c r="C11" s="29" t="s">
        <v>12</v>
      </c>
      <c r="D11" s="25" t="s">
        <v>19</v>
      </c>
      <c r="E11" s="26">
        <f>บัญชีรายรับ!E18</f>
        <v>5128.24</v>
      </c>
    </row>
    <row r="12" spans="1:7" ht="21.75" customHeight="1" x14ac:dyDescent="0.5">
      <c r="A12" s="26">
        <v>1000000</v>
      </c>
      <c r="B12" s="26">
        <f>E12+63529+98622+75663+88625+71404</f>
        <v>479757</v>
      </c>
      <c r="C12" s="29" t="s">
        <v>13</v>
      </c>
      <c r="D12" s="25" t="s">
        <v>20</v>
      </c>
      <c r="E12" s="26">
        <f>บัญชีรายรับ!E21</f>
        <v>81914</v>
      </c>
    </row>
    <row r="13" spans="1:7" ht="21.75" customHeight="1" x14ac:dyDescent="0.5">
      <c r="A13" s="26">
        <v>30000</v>
      </c>
      <c r="B13" s="26">
        <f>E13+32200+16200+9000+25118.75+3000</f>
        <v>85518.75</v>
      </c>
      <c r="C13" s="29" t="s">
        <v>14</v>
      </c>
      <c r="D13" s="25" t="s">
        <v>21</v>
      </c>
      <c r="E13" s="26">
        <f>บัญชีรายรับ!E23</f>
        <v>0</v>
      </c>
      <c r="F13" s="52">
        <f>B9+B10+B11+B12+B13</f>
        <v>670653.92999999993</v>
      </c>
    </row>
    <row r="14" spans="1:7" ht="21.75" customHeight="1" x14ac:dyDescent="0.5">
      <c r="A14" s="26">
        <v>17320000</v>
      </c>
      <c r="B14" s="26">
        <f>E14+755265.61+1960568.15+640299.5+1337725.3+2159779.65</f>
        <v>7349161.6500000004</v>
      </c>
      <c r="C14" s="29" t="s">
        <v>15</v>
      </c>
      <c r="D14" s="25" t="s">
        <v>22</v>
      </c>
      <c r="E14" s="26">
        <f>บัญชีรายรับ!E26</f>
        <v>495523.43999999994</v>
      </c>
    </row>
    <row r="15" spans="1:7" ht="21.75" customHeight="1" x14ac:dyDescent="0.5">
      <c r="A15" s="33">
        <v>21702563</v>
      </c>
      <c r="B15" s="33">
        <f>E15+4269134.42+502720+1905305+576400</f>
        <v>7836259.4199999999</v>
      </c>
      <c r="C15" s="29" t="s">
        <v>41</v>
      </c>
      <c r="D15" s="25" t="s">
        <v>23</v>
      </c>
      <c r="E15" s="26">
        <f>บัญชีรายรับ!E35</f>
        <v>582700</v>
      </c>
      <c r="F15" s="52">
        <f>SUM(E9:E15)</f>
        <v>1187345.68</v>
      </c>
      <c r="G15" s="94"/>
    </row>
    <row r="16" spans="1:7" ht="21.75" customHeight="1" thickBot="1" x14ac:dyDescent="0.55000000000000004">
      <c r="A16" s="190">
        <f>SUM(A9:A15)</f>
        <v>40702563</v>
      </c>
      <c r="B16" s="190">
        <f>SUM(B9:B15)</f>
        <v>15856075</v>
      </c>
      <c r="C16" s="29"/>
      <c r="D16" s="25"/>
      <c r="E16" s="190">
        <f>SUM(E9:E15)</f>
        <v>1187345.68</v>
      </c>
      <c r="G16" s="94"/>
    </row>
    <row r="17" spans="1:9" ht="21.75" customHeight="1" thickTop="1" x14ac:dyDescent="0.5">
      <c r="A17" s="191"/>
      <c r="B17" s="192">
        <f>E17+13720+11964+57968+76346+15832</f>
        <v>345784</v>
      </c>
      <c r="C17" s="29" t="s">
        <v>127</v>
      </c>
      <c r="D17" s="25" t="s">
        <v>298</v>
      </c>
      <c r="E17" s="26">
        <f>1744+167002+1208</f>
        <v>169954</v>
      </c>
      <c r="G17" s="70" t="s">
        <v>343</v>
      </c>
    </row>
    <row r="18" spans="1:9" ht="21.75" customHeight="1" x14ac:dyDescent="0.5">
      <c r="A18" s="191"/>
      <c r="B18" s="26">
        <f>E18+928.72+4816.3+2143+529+50</f>
        <v>10722.02</v>
      </c>
      <c r="C18" s="29" t="s">
        <v>78</v>
      </c>
      <c r="D18" s="25" t="s">
        <v>299</v>
      </c>
      <c r="E18" s="26">
        <f>ใบผ่าน1!F27</f>
        <v>2255</v>
      </c>
      <c r="G18" s="72" t="s">
        <v>344</v>
      </c>
    </row>
    <row r="19" spans="1:9" ht="21.75" customHeight="1" x14ac:dyDescent="0.5">
      <c r="A19" s="191"/>
      <c r="B19" s="26">
        <f>E19</f>
        <v>0</v>
      </c>
      <c r="C19" s="29" t="s">
        <v>216</v>
      </c>
      <c r="D19" s="25" t="s">
        <v>300</v>
      </c>
      <c r="E19" s="26">
        <v>0</v>
      </c>
      <c r="G19" s="94"/>
    </row>
    <row r="20" spans="1:9" ht="21.75" customHeight="1" x14ac:dyDescent="0.5">
      <c r="A20" s="191"/>
      <c r="B20" s="26">
        <f>E20</f>
        <v>0</v>
      </c>
      <c r="C20" s="29" t="s">
        <v>32</v>
      </c>
      <c r="D20" s="25" t="s">
        <v>301</v>
      </c>
      <c r="E20" s="26">
        <f>ใบผ่าน1!F30</f>
        <v>0</v>
      </c>
      <c r="F20" s="193"/>
      <c r="G20" s="94"/>
    </row>
    <row r="21" spans="1:9" ht="21.75" customHeight="1" x14ac:dyDescent="0.5">
      <c r="A21" s="191"/>
      <c r="B21" s="26">
        <f>E21</f>
        <v>0</v>
      </c>
      <c r="C21" s="29" t="s">
        <v>128</v>
      </c>
      <c r="D21" s="25"/>
      <c r="E21" s="26">
        <f>ใบผ่าน1!F28</f>
        <v>0</v>
      </c>
      <c r="F21" s="193"/>
      <c r="G21" s="94"/>
    </row>
    <row r="22" spans="1:9" ht="21.75" customHeight="1" x14ac:dyDescent="0.5">
      <c r="A22" s="191"/>
      <c r="B22" s="26"/>
      <c r="C22" s="139" t="s">
        <v>296</v>
      </c>
      <c r="D22" s="25" t="s">
        <v>302</v>
      </c>
      <c r="E22" s="26"/>
      <c r="G22" s="94"/>
    </row>
    <row r="23" spans="1:9" ht="21.75" customHeight="1" x14ac:dyDescent="0.5">
      <c r="A23" s="191"/>
      <c r="B23" s="26">
        <f>E23+7366.24+3299.04+11951.76+2768.74+8149.75</f>
        <v>42155.11</v>
      </c>
      <c r="C23" s="194" t="s">
        <v>322</v>
      </c>
      <c r="D23" s="25"/>
      <c r="E23" s="33">
        <f>เงินรับฝาก!D6</f>
        <v>8619.58</v>
      </c>
      <c r="G23" s="94"/>
    </row>
    <row r="24" spans="1:9" ht="21.75" customHeight="1" x14ac:dyDescent="0.5">
      <c r="A24" s="191"/>
      <c r="B24" s="26">
        <f>E24+66275+30000</f>
        <v>96275</v>
      </c>
      <c r="C24" s="194" t="s">
        <v>323</v>
      </c>
      <c r="D24" s="25"/>
      <c r="E24" s="33">
        <f>เงินรับฝาก!D9</f>
        <v>0</v>
      </c>
      <c r="G24" s="94"/>
      <c r="I24" s="12" t="s">
        <v>220</v>
      </c>
    </row>
    <row r="25" spans="1:9" ht="21.75" customHeight="1" x14ac:dyDescent="0.5">
      <c r="A25" s="191"/>
      <c r="B25" s="26">
        <f t="shared" ref="B25:B32" si="0">E25</f>
        <v>0</v>
      </c>
      <c r="C25" s="194" t="s">
        <v>324</v>
      </c>
      <c r="D25" s="25"/>
      <c r="E25" s="33">
        <f>เงินรับฝาก!D7</f>
        <v>0</v>
      </c>
      <c r="G25" s="94"/>
    </row>
    <row r="26" spans="1:9" ht="21.75" customHeight="1" x14ac:dyDescent="0.5">
      <c r="A26" s="191"/>
      <c r="B26" s="26">
        <f>E26+59.28+33.06</f>
        <v>92.34</v>
      </c>
      <c r="C26" s="194" t="s">
        <v>325</v>
      </c>
      <c r="D26" s="25"/>
      <c r="E26" s="33">
        <f>เงินรับฝาก!D8</f>
        <v>0</v>
      </c>
      <c r="G26" s="94"/>
    </row>
    <row r="27" spans="1:9" ht="21.75" customHeight="1" x14ac:dyDescent="0.5">
      <c r="A27" s="191"/>
      <c r="B27" s="26">
        <f>E27+6666</f>
        <v>6666</v>
      </c>
      <c r="C27" s="194" t="s">
        <v>326</v>
      </c>
      <c r="D27" s="25"/>
      <c r="E27" s="33">
        <f>เงินรับฝาก!D13</f>
        <v>0</v>
      </c>
      <c r="G27" s="94"/>
    </row>
    <row r="28" spans="1:9" ht="21.75" customHeight="1" x14ac:dyDescent="0.5">
      <c r="A28" s="191"/>
      <c r="B28" s="26">
        <f>E28+15355+14691+19876+19810+19810</f>
        <v>105386</v>
      </c>
      <c r="C28" s="194" t="s">
        <v>327</v>
      </c>
      <c r="D28" s="25"/>
      <c r="E28" s="33">
        <f>เงินรับฝาก!D10</f>
        <v>15844</v>
      </c>
      <c r="G28" s="94"/>
    </row>
    <row r="29" spans="1:9" ht="21.75" customHeight="1" x14ac:dyDescent="0.5">
      <c r="A29" s="191"/>
      <c r="B29" s="26">
        <f>E29</f>
        <v>0</v>
      </c>
      <c r="C29" s="194" t="s">
        <v>328</v>
      </c>
      <c r="D29" s="25"/>
      <c r="E29" s="33">
        <f>เงินรับฝาก!D14</f>
        <v>0</v>
      </c>
      <c r="G29" s="94"/>
    </row>
    <row r="30" spans="1:9" ht="21.75" customHeight="1" x14ac:dyDescent="0.5">
      <c r="A30" s="191"/>
      <c r="B30" s="26">
        <f t="shared" si="0"/>
        <v>0</v>
      </c>
      <c r="C30" s="194" t="s">
        <v>329</v>
      </c>
      <c r="D30" s="25"/>
      <c r="E30" s="33">
        <f>[2]เงินรับฝาก!D14</f>
        <v>0</v>
      </c>
      <c r="G30" s="94"/>
    </row>
    <row r="31" spans="1:9" ht="21.75" customHeight="1" x14ac:dyDescent="0.5">
      <c r="A31" s="191"/>
      <c r="B31" s="26">
        <f t="shared" si="0"/>
        <v>0</v>
      </c>
      <c r="C31" s="131" t="s">
        <v>330</v>
      </c>
      <c r="D31" s="25"/>
      <c r="E31" s="33">
        <f>เงินรับฝาก!D17</f>
        <v>0</v>
      </c>
      <c r="G31" s="94"/>
    </row>
    <row r="32" spans="1:9" ht="21.75" customHeight="1" x14ac:dyDescent="0.5">
      <c r="A32" s="191"/>
      <c r="B32" s="26">
        <f t="shared" si="0"/>
        <v>0</v>
      </c>
      <c r="C32" s="39" t="s">
        <v>331</v>
      </c>
      <c r="D32" s="25"/>
      <c r="E32" s="33">
        <v>0</v>
      </c>
      <c r="G32" s="94"/>
    </row>
    <row r="33" spans="1:9" ht="21.75" customHeight="1" x14ac:dyDescent="0.5">
      <c r="A33" s="191"/>
      <c r="B33" s="26">
        <f>E33</f>
        <v>0</v>
      </c>
      <c r="C33" s="39" t="s">
        <v>357</v>
      </c>
      <c r="D33" s="25"/>
      <c r="E33" s="33">
        <v>0</v>
      </c>
      <c r="G33" s="94"/>
    </row>
    <row r="34" spans="1:9" ht="21.75" customHeight="1" x14ac:dyDescent="0.5">
      <c r="A34" s="191"/>
      <c r="B34" s="20"/>
      <c r="C34" s="195" t="s">
        <v>446</v>
      </c>
      <c r="D34" s="25"/>
      <c r="E34" s="28"/>
      <c r="G34" s="94"/>
    </row>
    <row r="35" spans="1:9" ht="21.75" customHeight="1" x14ac:dyDescent="0.5">
      <c r="A35" s="191"/>
      <c r="B35" s="197">
        <f>SUM(B17:B34)</f>
        <v>607080.47</v>
      </c>
      <c r="C35" s="198"/>
      <c r="D35" s="32"/>
      <c r="E35" s="199">
        <f>SUM(E17:E34)</f>
        <v>196672.58</v>
      </c>
      <c r="F35" s="52">
        <f>SUM(E8:E35)</f>
        <v>2768036.52</v>
      </c>
    </row>
    <row r="36" spans="1:9" ht="21.75" customHeight="1" thickBot="1" x14ac:dyDescent="0.55000000000000004">
      <c r="A36" s="191"/>
      <c r="B36" s="190">
        <f>B16+B35</f>
        <v>16463155.470000001</v>
      </c>
      <c r="C36" s="200" t="s">
        <v>305</v>
      </c>
      <c r="D36" s="201"/>
      <c r="E36" s="190">
        <f>E16+E35</f>
        <v>1384018.26</v>
      </c>
    </row>
    <row r="37" spans="1:9" ht="21.75" customHeight="1" thickTop="1" x14ac:dyDescent="0.5">
      <c r="A37" s="191"/>
      <c r="B37" s="191"/>
      <c r="C37" s="202"/>
      <c r="D37" s="191"/>
      <c r="E37" s="191"/>
    </row>
    <row r="38" spans="1:9" ht="21.75" customHeight="1" x14ac:dyDescent="0.5">
      <c r="A38" s="191"/>
      <c r="B38" s="191"/>
      <c r="C38" s="202"/>
      <c r="D38" s="191"/>
      <c r="E38" s="191"/>
      <c r="F38" s="191"/>
    </row>
    <row r="39" spans="1:9" ht="21.75" customHeight="1" x14ac:dyDescent="0.5">
      <c r="A39" s="523" t="s">
        <v>2</v>
      </c>
      <c r="B39" s="523"/>
      <c r="C39" s="524" t="s">
        <v>6</v>
      </c>
      <c r="D39" s="527" t="s">
        <v>7</v>
      </c>
      <c r="E39" s="182" t="s">
        <v>8</v>
      </c>
    </row>
    <row r="40" spans="1:9" ht="21.75" customHeight="1" x14ac:dyDescent="0.5">
      <c r="A40" s="185" t="s">
        <v>3</v>
      </c>
      <c r="B40" s="185" t="s">
        <v>5</v>
      </c>
      <c r="C40" s="525"/>
      <c r="D40" s="528"/>
      <c r="E40" s="185" t="s">
        <v>5</v>
      </c>
    </row>
    <row r="41" spans="1:9" ht="21.75" customHeight="1" x14ac:dyDescent="0.5">
      <c r="A41" s="186" t="s">
        <v>4</v>
      </c>
      <c r="B41" s="186" t="s">
        <v>4</v>
      </c>
      <c r="C41" s="526"/>
      <c r="D41" s="529"/>
      <c r="E41" s="186" t="s">
        <v>4</v>
      </c>
    </row>
    <row r="42" spans="1:9" s="184" customFormat="1" ht="21.75" customHeight="1" x14ac:dyDescent="0.5">
      <c r="A42" s="23"/>
      <c r="B42" s="203"/>
      <c r="C42" s="204" t="s">
        <v>24</v>
      </c>
      <c r="D42" s="205"/>
      <c r="E42" s="23"/>
      <c r="F42" s="183"/>
      <c r="G42" s="184" t="s">
        <v>220</v>
      </c>
    </row>
    <row r="43" spans="1:9" ht="21.75" customHeight="1" x14ac:dyDescent="0.5">
      <c r="A43" s="26">
        <v>8205263</v>
      </c>
      <c r="B43" s="26">
        <f>E43+594255+594819.49+798491+692676+601910</f>
        <v>3901369.49</v>
      </c>
      <c r="C43" s="206" t="s">
        <v>25</v>
      </c>
      <c r="D43" s="25" t="s">
        <v>307</v>
      </c>
      <c r="E43" s="26">
        <f>'ใบผ่าน 2'!E6</f>
        <v>619218</v>
      </c>
    </row>
    <row r="44" spans="1:9" ht="21.75" customHeight="1" x14ac:dyDescent="0.5">
      <c r="A44" s="26">
        <f>2300000</f>
        <v>2300000</v>
      </c>
      <c r="B44" s="26">
        <f>E44+185460+185460+185460+182860+184800</f>
        <v>1109500</v>
      </c>
      <c r="C44" s="66" t="s">
        <v>85</v>
      </c>
      <c r="D44" s="25"/>
      <c r="E44" s="26">
        <f>'ใบผ่าน 2'!E7</f>
        <v>185460</v>
      </c>
    </row>
    <row r="45" spans="1:9" ht="21.75" customHeight="1" x14ac:dyDescent="0.5">
      <c r="A45" s="26">
        <v>4844000</v>
      </c>
      <c r="B45" s="26">
        <f>E45+353250+353250+353250+353250+353250</f>
        <v>2119500</v>
      </c>
      <c r="C45" s="66" t="s">
        <v>84</v>
      </c>
      <c r="D45" s="25" t="s">
        <v>308</v>
      </c>
      <c r="E45" s="26">
        <f>'ใบผ่าน 2'!E8</f>
        <v>353250</v>
      </c>
      <c r="F45" s="193"/>
    </row>
    <row r="46" spans="1:9" ht="21.75" customHeight="1" thickBot="1" x14ac:dyDescent="0.55000000000000004">
      <c r="A46" s="26">
        <v>720000</v>
      </c>
      <c r="B46" s="26">
        <f>E46+37580+37580+37580+37580+37580</f>
        <v>225480</v>
      </c>
      <c r="C46" s="66" t="s">
        <v>209</v>
      </c>
      <c r="D46" s="25" t="s">
        <v>306</v>
      </c>
      <c r="E46" s="26">
        <f>'ใบผ่าน 2'!E9</f>
        <v>37580</v>
      </c>
      <c r="F46" s="193"/>
    </row>
    <row r="47" spans="1:9" ht="21.75" customHeight="1" x14ac:dyDescent="0.5">
      <c r="A47" s="26">
        <v>5412000</v>
      </c>
      <c r="B47" s="40">
        <f>E47+326395+313110+405268+397895+399956.5</f>
        <v>2253804.5</v>
      </c>
      <c r="C47" s="66" t="s">
        <v>210</v>
      </c>
      <c r="D47" s="25" t="s">
        <v>309</v>
      </c>
      <c r="E47" s="26">
        <f>'ใบผ่าน 2'!E10</f>
        <v>411180</v>
      </c>
      <c r="F47" s="52">
        <f>SUM(E44:E47)</f>
        <v>987470</v>
      </c>
      <c r="G47" s="517" t="s">
        <v>375</v>
      </c>
      <c r="H47" s="518"/>
      <c r="I47" s="519"/>
    </row>
    <row r="48" spans="1:9" ht="21.75" customHeight="1" thickBot="1" x14ac:dyDescent="0.55000000000000004">
      <c r="A48" s="26">
        <f>142000+60000+330000+110000+80000</f>
        <v>722000</v>
      </c>
      <c r="B48" s="26">
        <f>E48+9671.75+19000+53400+41000+28671.75</f>
        <v>201943.5</v>
      </c>
      <c r="C48" s="66" t="s">
        <v>26</v>
      </c>
      <c r="D48" s="25" t="s">
        <v>310</v>
      </c>
      <c r="E48" s="26">
        <f>'ใบผ่าน 2'!E11</f>
        <v>50200</v>
      </c>
      <c r="G48" s="520"/>
      <c r="H48" s="521"/>
      <c r="I48" s="522"/>
    </row>
    <row r="49" spans="1:8" ht="21.75" customHeight="1" x14ac:dyDescent="0.5">
      <c r="A49" s="26">
        <v>6907000</v>
      </c>
      <c r="B49" s="26">
        <f>E49+159570+360008+522068+296178+249532</f>
        <v>2074345</v>
      </c>
      <c r="C49" s="66" t="s">
        <v>27</v>
      </c>
      <c r="D49" s="25" t="s">
        <v>311</v>
      </c>
      <c r="E49" s="26">
        <f>'ใบผ่าน 2'!E12+1744+167002+1208</f>
        <v>486989</v>
      </c>
      <c r="G49" s="275" t="s">
        <v>343</v>
      </c>
      <c r="H49" s="276"/>
    </row>
    <row r="50" spans="1:8" ht="21.75" customHeight="1" thickBot="1" x14ac:dyDescent="0.55000000000000004">
      <c r="A50" s="26">
        <v>2095000</v>
      </c>
      <c r="B50" s="26">
        <f>E50+1660+208506.1+207978.6+206196.9+191033</f>
        <v>1050682.6299999999</v>
      </c>
      <c r="C50" s="66" t="s">
        <v>28</v>
      </c>
      <c r="D50" s="25" t="s">
        <v>312</v>
      </c>
      <c r="E50" s="26">
        <f>'ใบผ่าน 2'!E13</f>
        <v>235308.03</v>
      </c>
      <c r="G50" s="277" t="s">
        <v>344</v>
      </c>
      <c r="H50" s="278"/>
    </row>
    <row r="51" spans="1:8" ht="21.75" customHeight="1" x14ac:dyDescent="0.5">
      <c r="A51" s="26">
        <v>1425000</v>
      </c>
      <c r="B51" s="26">
        <f>E51+92934.35+111975.64+100760.82+96358.26+102930.44</f>
        <v>597863.08000000007</v>
      </c>
      <c r="C51" s="66" t="s">
        <v>29</v>
      </c>
      <c r="D51" s="25" t="s">
        <v>313</v>
      </c>
      <c r="E51" s="26">
        <f>'ใบผ่าน 2'!E14</f>
        <v>92903.57</v>
      </c>
      <c r="F51" s="52">
        <f>E49+E50+E51</f>
        <v>815200.60000000009</v>
      </c>
      <c r="G51" s="125"/>
    </row>
    <row r="52" spans="1:8" ht="21.75" customHeight="1" x14ac:dyDescent="0.5">
      <c r="A52" s="26">
        <f>26500+1868000+79800+50000+93000</f>
        <v>2117300</v>
      </c>
      <c r="B52" s="26">
        <f>E52+40000+789700</f>
        <v>895000</v>
      </c>
      <c r="C52" s="66" t="s">
        <v>30</v>
      </c>
      <c r="D52" s="25" t="s">
        <v>314</v>
      </c>
      <c r="E52" s="26">
        <f>'ใบผ่าน 2'!E15</f>
        <v>65300</v>
      </c>
      <c r="G52" s="52"/>
    </row>
    <row r="53" spans="1:8" ht="21.75" customHeight="1" x14ac:dyDescent="0.5">
      <c r="A53" s="26">
        <f>200000+2575000+300000+200000</f>
        <v>3275000</v>
      </c>
      <c r="B53" s="26">
        <f>E53</f>
        <v>300000</v>
      </c>
      <c r="C53" s="66" t="s">
        <v>31</v>
      </c>
      <c r="D53" s="25" t="s">
        <v>315</v>
      </c>
      <c r="E53" s="26">
        <f>'ใบผ่าน 2'!E16</f>
        <v>300000</v>
      </c>
      <c r="G53" s="94">
        <f>B43+B44+B45+B46+B47+B48+B49+B50+B51+B53</f>
        <v>13834488.200000001</v>
      </c>
    </row>
    <row r="54" spans="1:8" ht="21.75" customHeight="1" x14ac:dyDescent="0.5">
      <c r="A54" s="20">
        <f>60000+2620000</f>
        <v>2680000</v>
      </c>
      <c r="B54" s="33">
        <f>E54+472000+473000</f>
        <v>945000</v>
      </c>
      <c r="C54" s="66" t="s">
        <v>41</v>
      </c>
      <c r="D54" s="25" t="s">
        <v>316</v>
      </c>
      <c r="E54" s="26">
        <f>'ใบผ่าน 2'!E19</f>
        <v>0</v>
      </c>
      <c r="G54" s="94"/>
    </row>
    <row r="55" spans="1:8" ht="21.75" customHeight="1" x14ac:dyDescent="0.5">
      <c r="A55" s="20"/>
      <c r="B55" s="33">
        <f>E55</f>
        <v>0</v>
      </c>
      <c r="C55" s="66" t="s">
        <v>16</v>
      </c>
      <c r="D55" s="25"/>
      <c r="E55" s="33">
        <v>0</v>
      </c>
      <c r="G55" s="94"/>
    </row>
    <row r="56" spans="1:8" ht="21.75" customHeight="1" x14ac:dyDescent="0.5">
      <c r="A56" s="20"/>
      <c r="B56" s="26">
        <f>E56</f>
        <v>0</v>
      </c>
      <c r="C56" s="66" t="s">
        <v>79</v>
      </c>
      <c r="D56" s="25" t="s">
        <v>317</v>
      </c>
      <c r="E56" s="26">
        <f>'ใบผ่าน 2'!E17</f>
        <v>0</v>
      </c>
      <c r="G56" s="94"/>
    </row>
    <row r="57" spans="1:8" ht="21.75" customHeight="1" thickBot="1" x14ac:dyDescent="0.55000000000000004">
      <c r="A57" s="190">
        <f>SUM(A43:A54)</f>
        <v>40702563</v>
      </c>
      <c r="B57" s="190">
        <f>SUM(B43:B56)</f>
        <v>15674488.200000001</v>
      </c>
      <c r="C57" s="66"/>
      <c r="D57" s="25"/>
      <c r="E57" s="190">
        <f>SUM(E43:E56)</f>
        <v>2837388.5999999996</v>
      </c>
      <c r="G57" s="94"/>
      <c r="H57" s="12">
        <v>1935</v>
      </c>
    </row>
    <row r="58" spans="1:8" ht="21.75" customHeight="1" thickTop="1" x14ac:dyDescent="0.5">
      <c r="A58" s="207"/>
      <c r="B58" s="192"/>
      <c r="C58" s="139" t="s">
        <v>296</v>
      </c>
      <c r="D58" s="25" t="s">
        <v>302</v>
      </c>
      <c r="E58" s="23"/>
      <c r="G58" s="94"/>
      <c r="H58" s="12">
        <v>20000</v>
      </c>
    </row>
    <row r="59" spans="1:8" ht="21.75" customHeight="1" x14ac:dyDescent="0.5">
      <c r="A59" s="196"/>
      <c r="B59" s="23">
        <f>E59+7432.97+7366.25+3299.04+11951.76+2768.74</f>
        <v>40968.51</v>
      </c>
      <c r="C59" s="194" t="s">
        <v>322</v>
      </c>
      <c r="D59" s="25"/>
      <c r="E59" s="23">
        <f>เงินรับฝาก!E6</f>
        <v>8149.75</v>
      </c>
      <c r="G59" s="94"/>
    </row>
    <row r="60" spans="1:8" ht="21.75" customHeight="1" x14ac:dyDescent="0.5">
      <c r="A60" s="196"/>
      <c r="B60" s="23">
        <v>39500</v>
      </c>
      <c r="C60" s="194" t="s">
        <v>323</v>
      </c>
      <c r="D60" s="25"/>
      <c r="E60" s="23">
        <f>เงินรับฝาก!E9</f>
        <v>0</v>
      </c>
      <c r="G60" s="94"/>
    </row>
    <row r="61" spans="1:8" ht="21.75" customHeight="1" x14ac:dyDescent="0.5">
      <c r="A61" s="196"/>
      <c r="B61" s="23">
        <f t="shared" ref="B61:B67" si="1">E61</f>
        <v>0</v>
      </c>
      <c r="C61" s="194" t="s">
        <v>324</v>
      </c>
      <c r="D61" s="25"/>
      <c r="E61" s="23">
        <f>เงินรับฝาก!E7</f>
        <v>0</v>
      </c>
      <c r="G61" s="94"/>
    </row>
    <row r="62" spans="1:8" ht="21.75" customHeight="1" x14ac:dyDescent="0.5">
      <c r="A62" s="196"/>
      <c r="B62" s="23">
        <f t="shared" si="1"/>
        <v>0</v>
      </c>
      <c r="C62" s="194" t="s">
        <v>325</v>
      </c>
      <c r="D62" s="25"/>
      <c r="E62" s="23">
        <f>เงินรับฝาก!E8</f>
        <v>0</v>
      </c>
      <c r="G62" s="94"/>
    </row>
    <row r="63" spans="1:8" ht="21.75" customHeight="1" x14ac:dyDescent="0.5">
      <c r="A63" s="196"/>
      <c r="B63" s="23">
        <f t="shared" si="1"/>
        <v>0</v>
      </c>
      <c r="C63" s="194" t="s">
        <v>326</v>
      </c>
      <c r="D63" s="25"/>
      <c r="E63" s="23">
        <f>เงินรับฝาก!E13</f>
        <v>0</v>
      </c>
      <c r="G63" s="94"/>
    </row>
    <row r="64" spans="1:8" ht="21.75" customHeight="1" x14ac:dyDescent="0.5">
      <c r="A64" s="196"/>
      <c r="B64" s="23">
        <f>E64+15355+15481+14691+19876+19810+664</f>
        <v>105687</v>
      </c>
      <c r="C64" s="194" t="s">
        <v>327</v>
      </c>
      <c r="D64" s="25"/>
      <c r="E64" s="23">
        <f>เงินรับฝาก!E10</f>
        <v>19810</v>
      </c>
      <c r="G64" s="94"/>
    </row>
    <row r="65" spans="1:8" ht="21.75" customHeight="1" x14ac:dyDescent="0.5">
      <c r="A65" s="196"/>
      <c r="B65" s="23">
        <f>+E65+510200+562600</f>
        <v>1644200</v>
      </c>
      <c r="C65" s="194" t="s">
        <v>474</v>
      </c>
      <c r="D65" s="25"/>
      <c r="E65" s="23">
        <f>445800+125600</f>
        <v>571400</v>
      </c>
      <c r="G65" s="94"/>
    </row>
    <row r="66" spans="1:8" ht="21.75" customHeight="1" x14ac:dyDescent="0.5">
      <c r="A66" s="196"/>
      <c r="B66" s="23">
        <f>E66</f>
        <v>0</v>
      </c>
      <c r="C66" s="194" t="s">
        <v>328</v>
      </c>
      <c r="D66" s="25"/>
      <c r="E66" s="23">
        <f>เงินรับฝาก!E14</f>
        <v>0</v>
      </c>
      <c r="G66" s="94"/>
    </row>
    <row r="67" spans="1:8" ht="21.75" customHeight="1" x14ac:dyDescent="0.5">
      <c r="A67" s="196"/>
      <c r="B67" s="23">
        <f t="shared" si="1"/>
        <v>0</v>
      </c>
      <c r="C67" s="194" t="s">
        <v>329</v>
      </c>
      <c r="D67" s="25"/>
      <c r="E67" s="23">
        <f>[3]เงินรับฝาก!E13</f>
        <v>0</v>
      </c>
      <c r="G67" s="94"/>
    </row>
    <row r="68" spans="1:8" ht="21.75" customHeight="1" x14ac:dyDescent="0.5">
      <c r="A68" s="196"/>
      <c r="B68" s="23">
        <f t="shared" ref="B68:B77" si="2">E68</f>
        <v>0</v>
      </c>
      <c r="C68" s="194" t="s">
        <v>333</v>
      </c>
      <c r="D68" s="25"/>
      <c r="E68" s="23">
        <f>เงินรับฝาก!E17</f>
        <v>0</v>
      </c>
      <c r="G68" s="94"/>
    </row>
    <row r="69" spans="1:8" ht="21.75" customHeight="1" x14ac:dyDescent="0.5">
      <c r="A69" s="196"/>
      <c r="B69" s="26">
        <f>E69+785000+199000+1126500</f>
        <v>2110500</v>
      </c>
      <c r="C69" s="195" t="s">
        <v>176</v>
      </c>
      <c r="D69" s="25" t="s">
        <v>303</v>
      </c>
      <c r="E69" s="26">
        <f>'ใบผ่าน 2'!E20</f>
        <v>0</v>
      </c>
      <c r="G69" s="94"/>
      <c r="H69" s="12">
        <v>72510</v>
      </c>
    </row>
    <row r="70" spans="1:8" ht="21.75" customHeight="1" x14ac:dyDescent="0.5">
      <c r="A70" s="196"/>
      <c r="B70" s="26">
        <f>E70</f>
        <v>0</v>
      </c>
      <c r="C70" s="195" t="s">
        <v>297</v>
      </c>
      <c r="D70" s="25" t="s">
        <v>318</v>
      </c>
      <c r="E70" s="26">
        <f>'ใบผ่าน 2'!E18</f>
        <v>0</v>
      </c>
      <c r="G70" s="94"/>
      <c r="H70" s="12">
        <v>53140</v>
      </c>
    </row>
    <row r="71" spans="1:8" ht="21.75" customHeight="1" x14ac:dyDescent="0.5">
      <c r="A71" s="196"/>
      <c r="B71" s="26">
        <f t="shared" si="2"/>
        <v>0</v>
      </c>
      <c r="C71" s="195" t="s">
        <v>304</v>
      </c>
      <c r="D71" s="25"/>
      <c r="E71" s="26">
        <f>'[4]ใบผ่าน 2'!E20</f>
        <v>0</v>
      </c>
      <c r="G71" s="94"/>
    </row>
    <row r="72" spans="1:8" ht="21.75" customHeight="1" x14ac:dyDescent="0.5">
      <c r="A72" s="196"/>
      <c r="B72" s="26">
        <f>E72</f>
        <v>0</v>
      </c>
      <c r="C72" s="67" t="s">
        <v>113</v>
      </c>
      <c r="D72" s="25" t="s">
        <v>301</v>
      </c>
      <c r="E72" s="26">
        <f>'ใบผ่าน 2'!E22</f>
        <v>0</v>
      </c>
    </row>
    <row r="73" spans="1:8" ht="21.75" customHeight="1" x14ac:dyDescent="0.5">
      <c r="A73" s="196"/>
      <c r="B73" s="26">
        <f t="shared" si="2"/>
        <v>0</v>
      </c>
      <c r="C73" s="67" t="s">
        <v>214</v>
      </c>
      <c r="D73" s="25"/>
      <c r="E73" s="26">
        <f>'[5]ใบผ่าน 2'!E22</f>
        <v>0</v>
      </c>
    </row>
    <row r="74" spans="1:8" ht="21.75" customHeight="1" x14ac:dyDescent="0.5">
      <c r="A74" s="196"/>
      <c r="B74" s="26">
        <f>+E74</f>
        <v>300000</v>
      </c>
      <c r="C74" s="67" t="s">
        <v>38</v>
      </c>
      <c r="D74" s="25"/>
      <c r="E74" s="26">
        <f>+'ใบผ่าน 2'!E23</f>
        <v>300000</v>
      </c>
    </row>
    <row r="75" spans="1:8" ht="21" customHeight="1" x14ac:dyDescent="0.5">
      <c r="A75" s="196"/>
      <c r="B75" s="26">
        <f>E75+20692+50952+66896+29418+182834</f>
        <v>592900</v>
      </c>
      <c r="C75" s="67" t="s">
        <v>125</v>
      </c>
      <c r="D75" s="25" t="s">
        <v>298</v>
      </c>
      <c r="E75" s="26">
        <f>'ใบผ่าน 2'!E24</f>
        <v>242108</v>
      </c>
    </row>
    <row r="76" spans="1:8" ht="21.75" customHeight="1" x14ac:dyDescent="0.5">
      <c r="A76" s="196"/>
      <c r="B76" s="26">
        <f t="shared" si="2"/>
        <v>0</v>
      </c>
      <c r="C76" s="67" t="s">
        <v>126</v>
      </c>
      <c r="D76" s="25"/>
      <c r="E76" s="26">
        <f>'[5]ใบผ่าน 2'!E24</f>
        <v>0</v>
      </c>
    </row>
    <row r="77" spans="1:8" ht="21.75" customHeight="1" x14ac:dyDescent="0.5">
      <c r="A77" s="196"/>
      <c r="B77" s="33">
        <f t="shared" si="2"/>
        <v>0</v>
      </c>
      <c r="C77" s="67" t="s">
        <v>234</v>
      </c>
      <c r="D77" s="25"/>
      <c r="E77" s="26">
        <f>'[5]ใบผ่าน 2'!E25</f>
        <v>0</v>
      </c>
    </row>
    <row r="78" spans="1:8" ht="21.75" customHeight="1" x14ac:dyDescent="0.5">
      <c r="A78" s="196"/>
      <c r="B78" s="28">
        <f>E78+100+20</f>
        <v>120</v>
      </c>
      <c r="C78" s="67" t="s">
        <v>77</v>
      </c>
      <c r="D78" s="25"/>
      <c r="E78" s="33">
        <f>ใบผ่าน1!E6</f>
        <v>0</v>
      </c>
    </row>
    <row r="79" spans="1:8" ht="21.75" customHeight="1" x14ac:dyDescent="0.5">
      <c r="A79" s="196"/>
      <c r="B79" s="197">
        <f>SUM(B58:B78)</f>
        <v>4833875.51</v>
      </c>
      <c r="C79" s="67"/>
      <c r="D79" s="25"/>
      <c r="E79" s="197">
        <f>SUM(E58:E78)</f>
        <v>1141467.75</v>
      </c>
    </row>
    <row r="80" spans="1:8" ht="21.75" customHeight="1" x14ac:dyDescent="0.5">
      <c r="A80" s="196"/>
      <c r="B80" s="11">
        <f>B57+B79</f>
        <v>20508363.710000001</v>
      </c>
      <c r="C80" s="208" t="s">
        <v>33</v>
      </c>
      <c r="D80" s="209"/>
      <c r="E80" s="11">
        <f>E57+E79</f>
        <v>3978856.3499999996</v>
      </c>
      <c r="F80" s="52">
        <f>E80-2931499.32</f>
        <v>1047357.0299999998</v>
      </c>
      <c r="G80" s="94"/>
    </row>
    <row r="81" spans="1:7" ht="21.75" customHeight="1" x14ac:dyDescent="0.5">
      <c r="A81" s="196"/>
      <c r="B81" s="20">
        <f>B36-B80</f>
        <v>-4045208.24</v>
      </c>
      <c r="C81" s="210" t="s">
        <v>34</v>
      </c>
      <c r="D81" s="211"/>
      <c r="E81" s="23">
        <f>E36-E80</f>
        <v>-2594838.09</v>
      </c>
      <c r="G81" s="52"/>
    </row>
    <row r="82" spans="1:7" ht="21.75" customHeight="1" x14ac:dyDescent="0.5">
      <c r="A82" s="196"/>
      <c r="B82" s="20"/>
      <c r="C82" s="212" t="s">
        <v>200</v>
      </c>
      <c r="D82" s="49"/>
      <c r="E82" s="26"/>
    </row>
    <row r="83" spans="1:7" ht="21.75" customHeight="1" x14ac:dyDescent="0.5">
      <c r="A83" s="196"/>
      <c r="B83" s="20"/>
      <c r="C83" s="213" t="s">
        <v>72</v>
      </c>
      <c r="D83" s="214"/>
      <c r="E83" s="33"/>
    </row>
    <row r="84" spans="1:7" s="216" customFormat="1" ht="21.75" customHeight="1" thickBot="1" x14ac:dyDescent="0.55000000000000004">
      <c r="A84" s="196"/>
      <c r="B84" s="190">
        <f>B7+B81</f>
        <v>10591162.959999999</v>
      </c>
      <c r="C84" s="210" t="s">
        <v>35</v>
      </c>
      <c r="D84" s="49"/>
      <c r="E84" s="190">
        <f>E7+E81</f>
        <v>10591162.959999999</v>
      </c>
      <c r="F84" s="215">
        <f>B84-E84</f>
        <v>0</v>
      </c>
    </row>
    <row r="85" spans="1:7" s="216" customFormat="1" ht="21.75" customHeight="1" thickTop="1" thickBot="1" x14ac:dyDescent="0.55000000000000004">
      <c r="A85" s="191"/>
      <c r="B85" s="191"/>
      <c r="C85" s="217"/>
      <c r="D85" s="202"/>
      <c r="E85" s="191"/>
      <c r="F85" s="52"/>
    </row>
    <row r="86" spans="1:7" ht="21.75" customHeight="1" thickTop="1" x14ac:dyDescent="0.5">
      <c r="A86" s="191"/>
      <c r="C86" s="94"/>
      <c r="D86" s="218"/>
      <c r="E86" s="219">
        <f>งบทดลอง!F13</f>
        <v>12634661.110000001</v>
      </c>
      <c r="G86" s="94"/>
    </row>
    <row r="87" spans="1:7" ht="21.75" customHeight="1" x14ac:dyDescent="0.5">
      <c r="E87" s="221">
        <f>E84-E86</f>
        <v>-2043498.1500000022</v>
      </c>
      <c r="G87" s="52"/>
    </row>
    <row r="88" spans="1:7" ht="21.75" customHeight="1" x14ac:dyDescent="0.5">
      <c r="A88" s="222"/>
      <c r="B88" s="222"/>
      <c r="C88" s="222"/>
      <c r="D88" s="222"/>
      <c r="E88" s="222"/>
      <c r="G88" s="94"/>
    </row>
    <row r="89" spans="1:7" ht="21.75" customHeight="1" x14ac:dyDescent="0.5">
      <c r="A89" s="222"/>
      <c r="B89" s="222"/>
      <c r="C89" s="222"/>
      <c r="D89" s="222"/>
      <c r="E89" s="222"/>
    </row>
  </sheetData>
  <mergeCells count="10">
    <mergeCell ref="G47:I48"/>
    <mergeCell ref="A39:B39"/>
    <mergeCell ref="C39:C41"/>
    <mergeCell ref="D39:D41"/>
    <mergeCell ref="D1:E1"/>
    <mergeCell ref="A2:E2"/>
    <mergeCell ref="D3:E3"/>
    <mergeCell ref="A4:B4"/>
    <mergeCell ref="C4:C6"/>
    <mergeCell ref="D4:D6"/>
  </mergeCells>
  <printOptions horizontalCentered="1"/>
  <pageMargins left="0.27559055118110237" right="0.27559055118110237" top="0.39370078740157483" bottom="0.39370078740157483" header="0.31496062992125984" footer="0.23622047244094491"/>
  <pageSetup paperSize="9" scale="75" orientation="portrait" horizontalDpi="4294967293" verticalDpi="4294967293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4"/>
  <sheetViews>
    <sheetView topLeftCell="A39" zoomScaleNormal="100" workbookViewId="0">
      <selection activeCell="J30" sqref="J30"/>
    </sheetView>
  </sheetViews>
  <sheetFormatPr defaultRowHeight="21.95" customHeight="1" x14ac:dyDescent="0.5"/>
  <cols>
    <col min="1" max="1" width="7.42578125" style="12" customWidth="1"/>
    <col min="2" max="2" width="39.7109375" style="12" customWidth="1"/>
    <col min="3" max="3" width="15" style="12" customWidth="1"/>
    <col min="4" max="4" width="18.5703125" style="52" customWidth="1"/>
    <col min="5" max="5" width="18.28515625" style="52" customWidth="1"/>
    <col min="6" max="6" width="15.28515625" style="12" bestFit="1" customWidth="1"/>
    <col min="7" max="7" width="17.42578125" style="12" customWidth="1"/>
    <col min="8" max="8" width="14.85546875" style="12" customWidth="1"/>
    <col min="9" max="9" width="4.42578125" style="12" customWidth="1"/>
    <col min="10" max="10" width="15.7109375" style="12" customWidth="1"/>
    <col min="11" max="16384" width="9.140625" style="12"/>
  </cols>
  <sheetData>
    <row r="1" spans="1:10" ht="21.95" customHeight="1" x14ac:dyDescent="0.5">
      <c r="A1" s="537" t="s">
        <v>207</v>
      </c>
      <c r="B1" s="537"/>
      <c r="C1" s="537"/>
      <c r="D1" s="537"/>
      <c r="E1" s="537"/>
    </row>
    <row r="2" spans="1:10" ht="21.95" customHeight="1" x14ac:dyDescent="0.5">
      <c r="A2" s="537" t="s">
        <v>82</v>
      </c>
      <c r="B2" s="537"/>
      <c r="C2" s="537"/>
      <c r="D2" s="537"/>
      <c r="E2" s="537"/>
    </row>
    <row r="3" spans="1:10" ht="21.95" customHeight="1" x14ac:dyDescent="0.5">
      <c r="A3" s="538" t="str">
        <f>รายจ่ายรอจ่าย!B4</f>
        <v>ณ  วันที่  31 มีนาคม 2563</v>
      </c>
      <c r="B3" s="538"/>
      <c r="C3" s="479"/>
      <c r="D3" s="479"/>
      <c r="E3" s="479"/>
    </row>
    <row r="4" spans="1:10" s="184" customFormat="1" ht="21.95" customHeight="1" x14ac:dyDescent="0.2">
      <c r="A4" s="539" t="s">
        <v>6</v>
      </c>
      <c r="B4" s="540"/>
      <c r="C4" s="524" t="s">
        <v>7</v>
      </c>
      <c r="D4" s="543" t="s">
        <v>74</v>
      </c>
      <c r="E4" s="515" t="s">
        <v>75</v>
      </c>
      <c r="G4" s="184">
        <v>1600811.85</v>
      </c>
    </row>
    <row r="5" spans="1:10" ht="21.95" customHeight="1" x14ac:dyDescent="0.5">
      <c r="A5" s="541"/>
      <c r="B5" s="542"/>
      <c r="C5" s="526"/>
      <c r="D5" s="544"/>
      <c r="E5" s="516"/>
      <c r="G5" s="12">
        <v>2398504.6</v>
      </c>
    </row>
    <row r="6" spans="1:10" ht="21.95" customHeight="1" x14ac:dyDescent="0.5">
      <c r="A6" s="104" t="s">
        <v>77</v>
      </c>
      <c r="B6" s="223"/>
      <c r="C6" s="224"/>
      <c r="D6" s="225"/>
      <c r="E6" s="225"/>
      <c r="G6" s="12">
        <v>197705.72</v>
      </c>
      <c r="J6" s="398"/>
    </row>
    <row r="7" spans="1:10" ht="21.95" customHeight="1" x14ac:dyDescent="0.5">
      <c r="A7" s="66" t="s">
        <v>201</v>
      </c>
      <c r="B7" s="226"/>
      <c r="C7" s="76"/>
      <c r="D7" s="227">
        <v>1677732.47</v>
      </c>
      <c r="E7" s="26"/>
      <c r="G7" s="225">
        <v>0</v>
      </c>
      <c r="J7" s="398"/>
    </row>
    <row r="8" spans="1:10" ht="21.95" customHeight="1" x14ac:dyDescent="0.5">
      <c r="A8" s="66" t="s">
        <v>202</v>
      </c>
      <c r="B8" s="226"/>
      <c r="C8" s="76"/>
      <c r="D8" s="227">
        <v>2398504.6</v>
      </c>
      <c r="E8" s="227"/>
      <c r="G8" s="225">
        <v>635986.66999999993</v>
      </c>
      <c r="J8" s="398"/>
    </row>
    <row r="9" spans="1:10" ht="21.95" customHeight="1" x14ac:dyDescent="0.5">
      <c r="A9" s="66" t="s">
        <v>203</v>
      </c>
      <c r="B9" s="226"/>
      <c r="C9" s="76"/>
      <c r="D9" s="227">
        <v>197400.38</v>
      </c>
      <c r="E9" s="227"/>
      <c r="G9" s="225">
        <v>6278202.1499999994</v>
      </c>
      <c r="J9" s="398"/>
    </row>
    <row r="10" spans="1:10" ht="21.95" customHeight="1" x14ac:dyDescent="0.5">
      <c r="A10" s="66" t="s">
        <v>204</v>
      </c>
      <c r="B10" s="226"/>
      <c r="C10" s="76"/>
      <c r="D10" s="227">
        <f>636022.67+0.6</f>
        <v>636023.27</v>
      </c>
      <c r="E10" s="227"/>
      <c r="G10" s="225">
        <v>0</v>
      </c>
      <c r="J10" s="398"/>
    </row>
    <row r="11" spans="1:10" ht="21.95" customHeight="1" x14ac:dyDescent="0.5">
      <c r="A11" s="228" t="s">
        <v>180</v>
      </c>
      <c r="B11" s="226"/>
      <c r="C11" s="76"/>
      <c r="D11" s="227">
        <v>6251724.0800000001</v>
      </c>
      <c r="E11" s="227"/>
      <c r="F11" s="94"/>
      <c r="G11" s="225">
        <v>0</v>
      </c>
      <c r="J11" s="398"/>
    </row>
    <row r="12" spans="1:10" ht="21.95" customHeight="1" x14ac:dyDescent="0.5">
      <c r="A12" s="228" t="s">
        <v>291</v>
      </c>
      <c r="B12" s="226"/>
      <c r="C12" s="76"/>
      <c r="D12" s="227"/>
      <c r="E12" s="227"/>
      <c r="F12" s="94"/>
      <c r="G12" s="420">
        <v>1509696.9300000002</v>
      </c>
      <c r="J12" s="398"/>
    </row>
    <row r="13" spans="1:10" ht="21.95" customHeight="1" x14ac:dyDescent="0.5">
      <c r="A13" s="66" t="s">
        <v>232</v>
      </c>
      <c r="B13" s="226"/>
      <c r="C13" s="76"/>
      <c r="D13" s="227">
        <v>1473276.31</v>
      </c>
      <c r="E13" s="227"/>
      <c r="F13" s="229">
        <f>SUM(D7:D13)</f>
        <v>12634661.110000001</v>
      </c>
      <c r="G13" s="12" t="s">
        <v>342</v>
      </c>
      <c r="J13" s="398"/>
    </row>
    <row r="14" spans="1:10" ht="21.95" customHeight="1" x14ac:dyDescent="0.5">
      <c r="A14" s="66" t="s">
        <v>78</v>
      </c>
      <c r="B14" s="226"/>
      <c r="C14" s="76"/>
      <c r="D14" s="403">
        <f>11069-'รายงานรับ-จ่าย'!B18</f>
        <v>346.97999999999956</v>
      </c>
      <c r="E14" s="227"/>
      <c r="F14" s="94"/>
    </row>
    <row r="15" spans="1:10" ht="21.95" customHeight="1" x14ac:dyDescent="0.5">
      <c r="A15" s="66" t="s">
        <v>25</v>
      </c>
      <c r="B15" s="78"/>
      <c r="C15" s="25"/>
      <c r="D15" s="227">
        <f>'รายงานรับ-จ่าย'!B43</f>
        <v>3901369.49</v>
      </c>
      <c r="E15" s="227"/>
      <c r="F15" s="94">
        <f>'รายงานรับ-จ่าย'!B43</f>
        <v>3901369.49</v>
      </c>
      <c r="G15" s="94">
        <f>D15-F15</f>
        <v>0</v>
      </c>
    </row>
    <row r="16" spans="1:10" ht="21.95" customHeight="1" x14ac:dyDescent="0.5">
      <c r="A16" s="66" t="s">
        <v>85</v>
      </c>
      <c r="B16" s="78"/>
      <c r="C16" s="25"/>
      <c r="D16" s="227">
        <f>'รายงานรับ-จ่าย'!B44</f>
        <v>1109500</v>
      </c>
      <c r="E16" s="227"/>
      <c r="F16" s="94">
        <f>'รายงานรับ-จ่าย'!B44</f>
        <v>1109500</v>
      </c>
      <c r="G16" s="94">
        <f t="shared" ref="G16:G25" si="0">D16-F16</f>
        <v>0</v>
      </c>
    </row>
    <row r="17" spans="1:11" ht="21.95" customHeight="1" x14ac:dyDescent="0.5">
      <c r="A17" s="66" t="s">
        <v>84</v>
      </c>
      <c r="B17" s="78"/>
      <c r="C17" s="25"/>
      <c r="D17" s="227">
        <f>'รายงานรับ-จ่าย'!B45</f>
        <v>2119500</v>
      </c>
      <c r="E17" s="227"/>
      <c r="F17" s="94">
        <f>'รายงานรับ-จ่าย'!B45</f>
        <v>2119500</v>
      </c>
      <c r="G17" s="94">
        <f t="shared" si="0"/>
        <v>0</v>
      </c>
    </row>
    <row r="18" spans="1:11" ht="21.95" customHeight="1" x14ac:dyDescent="0.5">
      <c r="A18" s="66" t="s">
        <v>209</v>
      </c>
      <c r="B18" s="78"/>
      <c r="C18" s="25"/>
      <c r="D18" s="227">
        <f>'รายงานรับ-จ่าย'!B46</f>
        <v>225480</v>
      </c>
      <c r="E18" s="227"/>
      <c r="F18" s="94">
        <f>'รายงานรับ-จ่าย'!B46</f>
        <v>225480</v>
      </c>
      <c r="G18" s="94">
        <f t="shared" si="0"/>
        <v>0</v>
      </c>
    </row>
    <row r="19" spans="1:11" ht="21.95" customHeight="1" x14ac:dyDescent="0.5">
      <c r="A19" s="66" t="s">
        <v>210</v>
      </c>
      <c r="B19" s="78"/>
      <c r="C19" s="25"/>
      <c r="D19" s="227">
        <f>'รายงานรับ-จ่าย'!B47</f>
        <v>2253804.5</v>
      </c>
      <c r="E19" s="227"/>
      <c r="F19" s="94">
        <f>'รายงานรับ-จ่าย'!B47</f>
        <v>2253804.5</v>
      </c>
      <c r="G19" s="94">
        <f t="shared" si="0"/>
        <v>0</v>
      </c>
    </row>
    <row r="20" spans="1:11" ht="21.95" customHeight="1" x14ac:dyDescent="0.5">
      <c r="A20" s="66" t="s">
        <v>26</v>
      </c>
      <c r="B20" s="78"/>
      <c r="C20" s="25"/>
      <c r="D20" s="227">
        <f>'รายงานรับ-จ่าย'!B48</f>
        <v>201943.5</v>
      </c>
      <c r="E20" s="227"/>
      <c r="F20" s="94">
        <f>'รายงานรับ-จ่าย'!B48</f>
        <v>201943.5</v>
      </c>
      <c r="G20" s="94">
        <f t="shared" si="0"/>
        <v>0</v>
      </c>
    </row>
    <row r="21" spans="1:11" ht="21.95" customHeight="1" x14ac:dyDescent="0.5">
      <c r="A21" s="66" t="s">
        <v>27</v>
      </c>
      <c r="B21" s="78"/>
      <c r="C21" s="25"/>
      <c r="D21" s="227">
        <f>'รายงานรับ-จ่าย'!B49</f>
        <v>2074345</v>
      </c>
      <c r="E21" s="227"/>
      <c r="F21" s="94">
        <f>'รายงานรับ-จ่าย'!B49</f>
        <v>2074345</v>
      </c>
      <c r="G21" s="94">
        <f t="shared" si="0"/>
        <v>0</v>
      </c>
    </row>
    <row r="22" spans="1:11" ht="21.95" customHeight="1" x14ac:dyDescent="0.5">
      <c r="A22" s="66" t="s">
        <v>28</v>
      </c>
      <c r="B22" s="78"/>
      <c r="C22" s="25"/>
      <c r="D22" s="227">
        <f>'รายงานรับ-จ่าย'!B50</f>
        <v>1050682.6299999999</v>
      </c>
      <c r="E22" s="227"/>
      <c r="F22" s="94">
        <f>'รายงานรับ-จ่าย'!B50</f>
        <v>1050682.6299999999</v>
      </c>
      <c r="G22" s="94">
        <f t="shared" si="0"/>
        <v>0</v>
      </c>
    </row>
    <row r="23" spans="1:11" ht="21.95" customHeight="1" x14ac:dyDescent="0.5">
      <c r="A23" s="66" t="s">
        <v>29</v>
      </c>
      <c r="B23" s="78"/>
      <c r="C23" s="25"/>
      <c r="D23" s="227">
        <f>'รายงานรับ-จ่าย'!B51</f>
        <v>597863.08000000007</v>
      </c>
      <c r="E23" s="227"/>
      <c r="F23" s="94">
        <f>'รายงานรับ-จ่าย'!B51</f>
        <v>597863.08000000007</v>
      </c>
      <c r="G23" s="94">
        <f t="shared" si="0"/>
        <v>0</v>
      </c>
    </row>
    <row r="24" spans="1:11" ht="21.95" customHeight="1" x14ac:dyDescent="0.5">
      <c r="A24" s="66" t="s">
        <v>30</v>
      </c>
      <c r="B24" s="78"/>
      <c r="C24" s="25"/>
      <c r="D24" s="227">
        <f>'รายงานรับ-จ่าย'!B52</f>
        <v>895000</v>
      </c>
      <c r="E24" s="227"/>
      <c r="F24" s="94">
        <f>'รายงานรับ-จ่าย'!B52</f>
        <v>895000</v>
      </c>
      <c r="G24" s="94">
        <f t="shared" si="0"/>
        <v>0</v>
      </c>
    </row>
    <row r="25" spans="1:11" ht="21.95" customHeight="1" x14ac:dyDescent="0.5">
      <c r="A25" s="66" t="s">
        <v>31</v>
      </c>
      <c r="B25" s="78"/>
      <c r="C25" s="25"/>
      <c r="D25" s="227">
        <f>'รายงานรับ-จ่าย'!B53</f>
        <v>300000</v>
      </c>
      <c r="E25" s="227"/>
      <c r="F25" s="94">
        <f>'รายงานรับ-จ่าย'!B53</f>
        <v>300000</v>
      </c>
      <c r="G25" s="94">
        <f t="shared" si="0"/>
        <v>0</v>
      </c>
      <c r="I25" s="533"/>
      <c r="J25" s="533"/>
      <c r="K25" s="533"/>
    </row>
    <row r="26" spans="1:11" ht="21.95" customHeight="1" x14ac:dyDescent="0.5">
      <c r="A26" s="66" t="s">
        <v>41</v>
      </c>
      <c r="B26" s="78"/>
      <c r="C26" s="25"/>
      <c r="D26" s="227">
        <f>'รายงานรับ-จ่าย'!B54</f>
        <v>945000</v>
      </c>
      <c r="E26" s="227"/>
    </row>
    <row r="27" spans="1:11" ht="21.95" customHeight="1" x14ac:dyDescent="0.5">
      <c r="A27" s="66" t="s">
        <v>79</v>
      </c>
      <c r="B27" s="78"/>
      <c r="C27" s="25"/>
      <c r="D27" s="227">
        <f>'รายงานรับ-จ่าย'!B56</f>
        <v>0</v>
      </c>
      <c r="E27" s="227"/>
    </row>
    <row r="28" spans="1:11" ht="21.95" customHeight="1" x14ac:dyDescent="0.5">
      <c r="A28" s="66" t="s">
        <v>81</v>
      </c>
      <c r="B28" s="78"/>
      <c r="C28" s="76"/>
      <c r="D28" s="227">
        <f>'รายงานรับ-จ่าย'!B75-'รายงานรับ-จ่าย'!B17</f>
        <v>247116</v>
      </c>
      <c r="E28" s="227"/>
    </row>
    <row r="29" spans="1:11" ht="21.95" customHeight="1" x14ac:dyDescent="0.5">
      <c r="A29" s="66" t="s">
        <v>337</v>
      </c>
      <c r="B29" s="78"/>
      <c r="C29" s="76"/>
      <c r="D29" s="227">
        <f>721669-'รายงานรับ-จ่าย'!B27</f>
        <v>715003</v>
      </c>
      <c r="E29" s="227"/>
      <c r="F29" s="94"/>
    </row>
    <row r="30" spans="1:11" ht="21.95" customHeight="1" x14ac:dyDescent="0.5">
      <c r="A30" s="66" t="s">
        <v>128</v>
      </c>
      <c r="B30" s="78"/>
      <c r="C30" s="76"/>
      <c r="D30" s="227"/>
      <c r="E30" s="227"/>
      <c r="F30" s="94"/>
    </row>
    <row r="31" spans="1:11" ht="21.95" customHeight="1" x14ac:dyDescent="0.5">
      <c r="A31" s="24"/>
      <c r="B31" s="231" t="s">
        <v>174</v>
      </c>
      <c r="C31" s="76"/>
      <c r="D31" s="227"/>
      <c r="E31" s="227">
        <f>บัญชีรายรับ!D51</f>
        <v>15881706.15</v>
      </c>
      <c r="F31" s="94">
        <f>D15+D16+D17+D18+D19+D20+D21+D22+D23+D24+D25+D26</f>
        <v>15674488.200000001</v>
      </c>
      <c r="G31" s="94">
        <f>E31-F31</f>
        <v>207217.94999999925</v>
      </c>
    </row>
    <row r="32" spans="1:11" ht="21.95" customHeight="1" x14ac:dyDescent="0.5">
      <c r="A32" s="24"/>
      <c r="B32" s="386" t="s">
        <v>175</v>
      </c>
      <c r="C32" s="76"/>
      <c r="D32" s="227"/>
      <c r="E32" s="230">
        <f>เงินรับฝาก!F18</f>
        <v>2221137.11</v>
      </c>
      <c r="F32" s="387" t="s">
        <v>348</v>
      </c>
      <c r="G32" s="388"/>
      <c r="H32" s="389"/>
    </row>
    <row r="33" spans="1:8" ht="21.95" customHeight="1" x14ac:dyDescent="0.5">
      <c r="A33" s="24"/>
      <c r="B33" s="226" t="s">
        <v>224</v>
      </c>
      <c r="C33" s="76"/>
      <c r="D33" s="227"/>
      <c r="E33" s="230"/>
      <c r="F33" s="534" t="s">
        <v>444</v>
      </c>
      <c r="G33" s="535"/>
      <c r="H33" s="536"/>
    </row>
    <row r="34" spans="1:8" ht="21.95" customHeight="1" x14ac:dyDescent="0.5">
      <c r="A34" s="24"/>
      <c r="B34" s="226" t="s">
        <v>381</v>
      </c>
      <c r="C34" s="76"/>
      <c r="D34" s="227"/>
      <c r="E34" s="385">
        <f>4165000-'รายงานรับ-จ่าย'!B69</f>
        <v>2054500</v>
      </c>
    </row>
    <row r="35" spans="1:8" ht="21.95" customHeight="1" x14ac:dyDescent="0.5">
      <c r="A35" s="24"/>
      <c r="B35" s="226" t="s">
        <v>304</v>
      </c>
      <c r="C35" s="76"/>
      <c r="D35" s="227"/>
      <c r="E35" s="230">
        <v>0</v>
      </c>
    </row>
    <row r="36" spans="1:8" ht="21.95" customHeight="1" x14ac:dyDescent="0.5">
      <c r="A36" s="24"/>
      <c r="B36" s="226" t="s">
        <v>32</v>
      </c>
      <c r="C36" s="76"/>
      <c r="D36" s="227"/>
      <c r="E36" s="230">
        <f>2702950.16+0.6</f>
        <v>2702950.7600000002</v>
      </c>
      <c r="G36" s="420"/>
    </row>
    <row r="37" spans="1:8" ht="21.95" customHeight="1" x14ac:dyDescent="0.5">
      <c r="A37" s="24"/>
      <c r="B37" s="226" t="s">
        <v>38</v>
      </c>
      <c r="C37" s="76"/>
      <c r="D37" s="227"/>
      <c r="E37" s="230">
        <f>6711321.27-300000</f>
        <v>6411321.2699999996</v>
      </c>
      <c r="G37" s="420"/>
    </row>
    <row r="38" spans="1:8" ht="21.95" customHeight="1" x14ac:dyDescent="0.5">
      <c r="A38" s="31"/>
      <c r="B38" s="231" t="s">
        <v>234</v>
      </c>
      <c r="C38" s="82"/>
      <c r="D38" s="232"/>
      <c r="E38" s="233"/>
    </row>
    <row r="39" spans="1:8" ht="21.95" customHeight="1" x14ac:dyDescent="0.5">
      <c r="A39" s="234"/>
      <c r="B39" s="234"/>
      <c r="C39" s="235"/>
      <c r="D39" s="197">
        <f>SUM(D6:D38)</f>
        <v>29271615.289999999</v>
      </c>
      <c r="E39" s="197">
        <f>SUM(E6:E38)</f>
        <v>29271615.290000003</v>
      </c>
    </row>
    <row r="40" spans="1:8" ht="33" customHeight="1" x14ac:dyDescent="0.5">
      <c r="A40" s="99"/>
      <c r="B40" s="99"/>
      <c r="C40" s="99"/>
      <c r="D40" s="191"/>
      <c r="E40" s="191"/>
    </row>
    <row r="41" spans="1:8" ht="21.95" customHeight="1" x14ac:dyDescent="0.5">
      <c r="E41" s="215">
        <f>D39-E39</f>
        <v>0</v>
      </c>
    </row>
    <row r="44" spans="1:8" ht="21.95" customHeight="1" x14ac:dyDescent="0.5">
      <c r="F44" s="12">
        <f>F41-F42</f>
        <v>0</v>
      </c>
    </row>
  </sheetData>
  <mergeCells count="9">
    <mergeCell ref="I25:K25"/>
    <mergeCell ref="F33:H33"/>
    <mergeCell ref="A1:E1"/>
    <mergeCell ref="A2:E2"/>
    <mergeCell ref="A3:E3"/>
    <mergeCell ref="A4:B5"/>
    <mergeCell ref="C4:C5"/>
    <mergeCell ref="D4:D5"/>
    <mergeCell ref="E4:E5"/>
  </mergeCells>
  <phoneticPr fontId="2" type="noConversion"/>
  <printOptions horizontalCentered="1"/>
  <pageMargins left="0.51181102362204722" right="0.15748031496062992" top="0.31496062992125984" bottom="0.23622047244094491" header="0.27559055118110237" footer="0.15748031496062992"/>
  <pageSetup paperSize="9" scale="84" orientation="portrait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1"/>
  <sheetViews>
    <sheetView topLeftCell="A13" zoomScaleNormal="100" workbookViewId="0">
      <selection activeCell="J25" sqref="J25"/>
    </sheetView>
  </sheetViews>
  <sheetFormatPr defaultRowHeight="21.95" customHeight="1" x14ac:dyDescent="0.25"/>
  <cols>
    <col min="1" max="1" width="39" style="2" customWidth="1"/>
    <col min="2" max="2" width="18.140625" style="239" customWidth="1"/>
    <col min="3" max="3" width="18" style="239" customWidth="1"/>
    <col min="4" max="4" width="16.7109375" style="239" customWidth="1"/>
    <col min="5" max="5" width="18.85546875" style="2" hidden="1" customWidth="1"/>
    <col min="6" max="7" width="9.140625" style="2"/>
    <col min="8" max="8" width="15.85546875" style="239" customWidth="1"/>
    <col min="9" max="16384" width="9.140625" style="2"/>
  </cols>
  <sheetData>
    <row r="1" spans="1:8" ht="21.95" customHeight="1" x14ac:dyDescent="0.25">
      <c r="A1" s="549" t="s">
        <v>158</v>
      </c>
      <c r="B1" s="549"/>
      <c r="C1" s="549"/>
      <c r="D1" s="549"/>
    </row>
    <row r="2" spans="1:8" ht="21.95" customHeight="1" x14ac:dyDescent="0.25">
      <c r="A2" s="549" t="s">
        <v>425</v>
      </c>
      <c r="B2" s="549"/>
      <c r="C2" s="549"/>
      <c r="D2" s="549"/>
    </row>
    <row r="3" spans="1:8" ht="23.25" customHeight="1" x14ac:dyDescent="0.25">
      <c r="A3" s="549" t="s">
        <v>448</v>
      </c>
      <c r="B3" s="549"/>
      <c r="C3" s="549"/>
      <c r="D3" s="549"/>
    </row>
    <row r="4" spans="1:8" ht="21.95" customHeight="1" x14ac:dyDescent="0.25">
      <c r="A4" s="237" t="s">
        <v>36</v>
      </c>
      <c r="B4" s="238"/>
      <c r="C4" s="238"/>
    </row>
    <row r="5" spans="1:8" ht="21.95" customHeight="1" x14ac:dyDescent="0.25">
      <c r="A5" s="545" t="s">
        <v>6</v>
      </c>
      <c r="B5" s="547" t="s">
        <v>3</v>
      </c>
      <c r="C5" s="547" t="s">
        <v>159</v>
      </c>
      <c r="D5" s="240" t="s">
        <v>362</v>
      </c>
      <c r="E5" s="241" t="s">
        <v>173</v>
      </c>
    </row>
    <row r="6" spans="1:8" ht="21.95" customHeight="1" x14ac:dyDescent="0.25">
      <c r="A6" s="546"/>
      <c r="B6" s="548"/>
      <c r="C6" s="548"/>
      <c r="D6" s="242" t="s">
        <v>160</v>
      </c>
      <c r="E6" s="243"/>
    </row>
    <row r="7" spans="1:8" ht="21.95" customHeight="1" x14ac:dyDescent="0.25">
      <c r="A7" s="244" t="s">
        <v>161</v>
      </c>
      <c r="B7" s="245"/>
      <c r="C7" s="245"/>
      <c r="D7" s="246"/>
      <c r="E7" s="4"/>
    </row>
    <row r="8" spans="1:8" ht="21.95" customHeight="1" x14ac:dyDescent="0.25">
      <c r="A8" s="247" t="s">
        <v>10</v>
      </c>
      <c r="B8" s="248">
        <f>'รายงานรับ-จ่าย'!A9</f>
        <v>25000</v>
      </c>
      <c r="C8" s="248">
        <f>'รายงานรับ-จ่าย'!B9</f>
        <v>4857.6399999999994</v>
      </c>
      <c r="D8" s="249">
        <f>C8-B8</f>
        <v>-20142.36</v>
      </c>
      <c r="E8" s="5"/>
    </row>
    <row r="9" spans="1:8" ht="21.95" customHeight="1" x14ac:dyDescent="0.25">
      <c r="A9" s="247" t="s">
        <v>11</v>
      </c>
      <c r="B9" s="248">
        <f>'รายงานรับ-จ่าย'!A10</f>
        <v>525000</v>
      </c>
      <c r="C9" s="248">
        <f>'รายงานรับ-จ่าย'!B10</f>
        <v>24780</v>
      </c>
      <c r="D9" s="249">
        <f t="shared" ref="D9:D16" si="0">C9-B9</f>
        <v>-500220</v>
      </c>
      <c r="E9" s="5"/>
    </row>
    <row r="10" spans="1:8" ht="21.95" customHeight="1" x14ac:dyDescent="0.25">
      <c r="A10" s="247" t="s">
        <v>162</v>
      </c>
      <c r="B10" s="248">
        <f>'รายงานรับ-จ่าย'!A11</f>
        <v>100000</v>
      </c>
      <c r="C10" s="248">
        <f>'รายงานรับ-จ่าย'!B11</f>
        <v>75740.539999999994</v>
      </c>
      <c r="D10" s="249">
        <f t="shared" si="0"/>
        <v>-24259.460000000006</v>
      </c>
      <c r="E10" s="5"/>
    </row>
    <row r="11" spans="1:8" ht="21.95" customHeight="1" x14ac:dyDescent="0.25">
      <c r="A11" s="247" t="s">
        <v>13</v>
      </c>
      <c r="B11" s="248">
        <f>'รายงานรับ-จ่าย'!A12</f>
        <v>1000000</v>
      </c>
      <c r="C11" s="248">
        <f>'รายงานรับ-จ่าย'!B12</f>
        <v>479757</v>
      </c>
      <c r="D11" s="249">
        <f t="shared" si="0"/>
        <v>-520243</v>
      </c>
      <c r="E11" s="5"/>
    </row>
    <row r="12" spans="1:8" ht="21.95" customHeight="1" x14ac:dyDescent="0.25">
      <c r="A12" s="247" t="s">
        <v>14</v>
      </c>
      <c r="B12" s="248">
        <f>'รายงานรับ-จ่าย'!A13</f>
        <v>30000</v>
      </c>
      <c r="C12" s="248">
        <f>'รายงานรับ-จ่าย'!B13</f>
        <v>85518.75</v>
      </c>
      <c r="D12" s="249">
        <f t="shared" si="0"/>
        <v>55518.75</v>
      </c>
      <c r="E12" s="5"/>
      <c r="H12" s="239">
        <f>C8+C9+C10+C11+C12</f>
        <v>670653.92999999993</v>
      </c>
    </row>
    <row r="13" spans="1:8" ht="21.95" customHeight="1" x14ac:dyDescent="0.25">
      <c r="A13" s="247" t="s">
        <v>15</v>
      </c>
      <c r="B13" s="248">
        <f>'รายงานรับ-จ่าย'!A14</f>
        <v>17320000</v>
      </c>
      <c r="C13" s="248">
        <f>'รายงานรับ-จ่าย'!B14</f>
        <v>7349161.6500000004</v>
      </c>
      <c r="D13" s="249">
        <f t="shared" si="0"/>
        <v>-9970838.3499999996</v>
      </c>
      <c r="E13" s="5"/>
    </row>
    <row r="14" spans="1:8" ht="21.95" customHeight="1" x14ac:dyDescent="0.25">
      <c r="A14" s="247" t="s">
        <v>41</v>
      </c>
      <c r="B14" s="248">
        <f>'รายงานรับ-จ่าย'!A15</f>
        <v>21702563</v>
      </c>
      <c r="C14" s="248">
        <f>'รายงานรับ-จ่าย'!B15</f>
        <v>7836259.4199999999</v>
      </c>
      <c r="D14" s="250">
        <f t="shared" si="0"/>
        <v>-13866303.58</v>
      </c>
      <c r="E14" s="5"/>
    </row>
    <row r="15" spans="1:8" ht="21.95" customHeight="1" x14ac:dyDescent="0.25">
      <c r="A15" s="251" t="s">
        <v>163</v>
      </c>
      <c r="B15" s="252">
        <f>SUM(B8:B14)</f>
        <v>40702563</v>
      </c>
      <c r="C15" s="252">
        <f>SUM(C8:C14)</f>
        <v>15856075</v>
      </c>
      <c r="D15" s="253">
        <f t="shared" si="0"/>
        <v>-24846488</v>
      </c>
      <c r="E15" s="5"/>
    </row>
    <row r="16" spans="1:8" ht="21.95" customHeight="1" x14ac:dyDescent="0.25">
      <c r="A16" s="254" t="s">
        <v>164</v>
      </c>
      <c r="B16" s="255"/>
      <c r="C16" s="255"/>
      <c r="D16" s="253">
        <f t="shared" si="0"/>
        <v>0</v>
      </c>
      <c r="E16" s="6"/>
    </row>
    <row r="17" spans="1:5" ht="21.95" customHeight="1" thickBot="1" x14ac:dyDescent="0.3">
      <c r="A17" s="256" t="s">
        <v>165</v>
      </c>
      <c r="B17" s="257"/>
      <c r="C17" s="258">
        <f>C15+C16</f>
        <v>15856075</v>
      </c>
    </row>
    <row r="18" spans="1:5" ht="21.95" customHeight="1" thickTop="1" x14ac:dyDescent="0.25">
      <c r="A18" s="259"/>
      <c r="B18" s="260"/>
      <c r="C18" s="260"/>
    </row>
    <row r="19" spans="1:5" ht="21.95" customHeight="1" x14ac:dyDescent="0.25">
      <c r="A19" s="237" t="s">
        <v>24</v>
      </c>
      <c r="B19" s="261"/>
      <c r="C19" s="261"/>
    </row>
    <row r="20" spans="1:5" ht="21.95" customHeight="1" x14ac:dyDescent="0.25">
      <c r="A20" s="545" t="s">
        <v>6</v>
      </c>
      <c r="B20" s="547" t="s">
        <v>3</v>
      </c>
      <c r="C20" s="547" t="s">
        <v>166</v>
      </c>
      <c r="D20" s="240" t="s">
        <v>363</v>
      </c>
      <c r="E20" s="241" t="s">
        <v>173</v>
      </c>
    </row>
    <row r="21" spans="1:5" ht="21.95" customHeight="1" x14ac:dyDescent="0.25">
      <c r="A21" s="546"/>
      <c r="B21" s="548"/>
      <c r="C21" s="548"/>
      <c r="D21" s="242" t="s">
        <v>160</v>
      </c>
      <c r="E21" s="243" t="s">
        <v>219</v>
      </c>
    </row>
    <row r="22" spans="1:5" ht="21.95" customHeight="1" x14ac:dyDescent="0.25">
      <c r="A22" s="244" t="s">
        <v>167</v>
      </c>
      <c r="B22" s="245"/>
      <c r="C22" s="245"/>
      <c r="D22" s="246"/>
      <c r="E22" s="4"/>
    </row>
    <row r="23" spans="1:5" ht="21.95" customHeight="1" x14ac:dyDescent="0.25">
      <c r="A23" s="262" t="s">
        <v>25</v>
      </c>
      <c r="B23" s="248">
        <f>'รายงานรับ-จ่าย'!A43</f>
        <v>8205263</v>
      </c>
      <c r="C23" s="263">
        <f>'รายงานรับ-จ่าย'!B43</f>
        <v>3901369.49</v>
      </c>
      <c r="D23" s="249">
        <f>C23-B23</f>
        <v>-4303893.51</v>
      </c>
      <c r="E23" s="5"/>
    </row>
    <row r="24" spans="1:5" ht="21.95" customHeight="1" x14ac:dyDescent="0.25">
      <c r="A24" s="262" t="s">
        <v>85</v>
      </c>
      <c r="B24" s="248">
        <f>'รายงานรับ-จ่าย'!A44</f>
        <v>2300000</v>
      </c>
      <c r="C24" s="263">
        <f>'รายงานรับ-จ่าย'!B44</f>
        <v>1109500</v>
      </c>
      <c r="D24" s="249">
        <f t="shared" ref="D24:D39" si="1">C24-B24</f>
        <v>-1190500</v>
      </c>
      <c r="E24" s="5"/>
    </row>
    <row r="25" spans="1:5" ht="21.95" customHeight="1" x14ac:dyDescent="0.25">
      <c r="A25" s="262" t="s">
        <v>84</v>
      </c>
      <c r="B25" s="248">
        <f>'รายงานรับ-จ่าย'!A45</f>
        <v>4844000</v>
      </c>
      <c r="C25" s="263">
        <f>'รายงานรับ-จ่าย'!B45</f>
        <v>2119500</v>
      </c>
      <c r="D25" s="249">
        <f t="shared" si="1"/>
        <v>-2724500</v>
      </c>
      <c r="E25" s="5"/>
    </row>
    <row r="26" spans="1:5" ht="21.95" customHeight="1" x14ac:dyDescent="0.25">
      <c r="A26" s="262" t="s">
        <v>209</v>
      </c>
      <c r="B26" s="248">
        <f>'รายงานรับ-จ่าย'!A46</f>
        <v>720000</v>
      </c>
      <c r="C26" s="263">
        <f>'รายงานรับ-จ่าย'!B46</f>
        <v>225480</v>
      </c>
      <c r="D26" s="249">
        <f t="shared" si="1"/>
        <v>-494520</v>
      </c>
      <c r="E26" s="5"/>
    </row>
    <row r="27" spans="1:5" ht="21.95" customHeight="1" x14ac:dyDescent="0.25">
      <c r="A27" s="262" t="s">
        <v>210</v>
      </c>
      <c r="B27" s="248">
        <f>'รายงานรับ-จ่าย'!A47</f>
        <v>5412000</v>
      </c>
      <c r="C27" s="263">
        <f>'รายงานรับ-จ่าย'!B47</f>
        <v>2253804.5</v>
      </c>
      <c r="D27" s="249">
        <f t="shared" si="1"/>
        <v>-3158195.5</v>
      </c>
      <c r="E27" s="5"/>
    </row>
    <row r="28" spans="1:5" ht="21.95" customHeight="1" x14ac:dyDescent="0.25">
      <c r="A28" s="262" t="s">
        <v>26</v>
      </c>
      <c r="B28" s="248">
        <f>'รายงานรับ-จ่าย'!A48</f>
        <v>722000</v>
      </c>
      <c r="C28" s="263">
        <f>'รายงานรับ-จ่าย'!B48</f>
        <v>201943.5</v>
      </c>
      <c r="D28" s="249">
        <f t="shared" si="1"/>
        <v>-520056.5</v>
      </c>
      <c r="E28" s="5"/>
    </row>
    <row r="29" spans="1:5" ht="21.95" customHeight="1" x14ac:dyDescent="0.25">
      <c r="A29" s="262" t="s">
        <v>27</v>
      </c>
      <c r="B29" s="248">
        <f>'รายงานรับ-จ่าย'!A49</f>
        <v>6907000</v>
      </c>
      <c r="C29" s="263">
        <f>'รายงานรับ-จ่าย'!B49</f>
        <v>2074345</v>
      </c>
      <c r="D29" s="249">
        <f t="shared" si="1"/>
        <v>-4832655</v>
      </c>
      <c r="E29" s="5"/>
    </row>
    <row r="30" spans="1:5" ht="21.95" customHeight="1" x14ac:dyDescent="0.25">
      <c r="A30" s="262" t="s">
        <v>28</v>
      </c>
      <c r="B30" s="248">
        <f>'รายงานรับ-จ่าย'!A50</f>
        <v>2095000</v>
      </c>
      <c r="C30" s="263">
        <f>'รายงานรับ-จ่าย'!B50</f>
        <v>1050682.6299999999</v>
      </c>
      <c r="D30" s="249">
        <f t="shared" si="1"/>
        <v>-1044317.3700000001</v>
      </c>
      <c r="E30" s="5"/>
    </row>
    <row r="31" spans="1:5" ht="21.95" customHeight="1" x14ac:dyDescent="0.25">
      <c r="A31" s="262" t="s">
        <v>29</v>
      </c>
      <c r="B31" s="248">
        <f>'รายงานรับ-จ่าย'!A51</f>
        <v>1425000</v>
      </c>
      <c r="C31" s="263">
        <f>'รายงานรับ-จ่าย'!B51</f>
        <v>597863.08000000007</v>
      </c>
      <c r="D31" s="249">
        <f t="shared" si="1"/>
        <v>-827136.91999999993</v>
      </c>
      <c r="E31" s="5"/>
    </row>
    <row r="32" spans="1:5" ht="21.95" customHeight="1" x14ac:dyDescent="0.25">
      <c r="A32" s="262" t="s">
        <v>30</v>
      </c>
      <c r="B32" s="248">
        <f>'รายงานรับ-จ่าย'!A52</f>
        <v>2117300</v>
      </c>
      <c r="C32" s="263">
        <f>'รายงานรับ-จ่าย'!B52</f>
        <v>895000</v>
      </c>
      <c r="D32" s="249">
        <f t="shared" si="1"/>
        <v>-1222300</v>
      </c>
      <c r="E32" s="5"/>
    </row>
    <row r="33" spans="1:7" ht="21.95" customHeight="1" x14ac:dyDescent="0.25">
      <c r="A33" s="262" t="s">
        <v>31</v>
      </c>
      <c r="B33" s="248">
        <f>'รายงานรับ-จ่าย'!A53</f>
        <v>3275000</v>
      </c>
      <c r="C33" s="263">
        <f>'รายงานรับ-จ่าย'!B53</f>
        <v>300000</v>
      </c>
      <c r="D33" s="249">
        <f t="shared" si="1"/>
        <v>-2975000</v>
      </c>
      <c r="E33" s="5"/>
    </row>
    <row r="34" spans="1:7" ht="21.95" customHeight="1" x14ac:dyDescent="0.25">
      <c r="A34" s="262" t="s">
        <v>79</v>
      </c>
      <c r="B34" s="248">
        <f>'รายงานรับ-จ่าย'!A56</f>
        <v>0</v>
      </c>
      <c r="C34" s="263">
        <f>'รายงานรับ-จ่าย'!B56</f>
        <v>0</v>
      </c>
      <c r="D34" s="249">
        <f t="shared" si="1"/>
        <v>0</v>
      </c>
      <c r="E34" s="5"/>
    </row>
    <row r="35" spans="1:7" ht="21.95" customHeight="1" x14ac:dyDescent="0.25">
      <c r="A35" s="262" t="s">
        <v>41</v>
      </c>
      <c r="B35" s="248">
        <f>'รายงานรับ-จ่าย'!A54</f>
        <v>2680000</v>
      </c>
      <c r="C35" s="263">
        <f>'รายงานรับ-จ่าย'!B54</f>
        <v>945000</v>
      </c>
      <c r="D35" s="249">
        <f t="shared" si="1"/>
        <v>-1735000</v>
      </c>
      <c r="E35" s="5"/>
    </row>
    <row r="36" spans="1:7" ht="21.95" customHeight="1" x14ac:dyDescent="0.25">
      <c r="A36" s="262" t="s">
        <v>16</v>
      </c>
      <c r="B36" s="248">
        <f>'รายงานรับ-จ่าย'!A55</f>
        <v>0</v>
      </c>
      <c r="C36" s="263">
        <f>'รายงานรับ-จ่าย'!B55</f>
        <v>0</v>
      </c>
      <c r="D36" s="250">
        <f t="shared" si="1"/>
        <v>0</v>
      </c>
      <c r="E36" s="5"/>
    </row>
    <row r="37" spans="1:7" ht="21.95" customHeight="1" x14ac:dyDescent="0.25">
      <c r="A37" s="251" t="s">
        <v>228</v>
      </c>
      <c r="B37" s="252">
        <f>SUM(B23:B36)</f>
        <v>40702563</v>
      </c>
      <c r="C37" s="252">
        <f>SUM(C23:C36)</f>
        <v>15674488.200000001</v>
      </c>
      <c r="D37" s="253">
        <f t="shared" si="1"/>
        <v>-25028074.799999997</v>
      </c>
      <c r="E37" s="5"/>
      <c r="G37" s="2" t="s">
        <v>220</v>
      </c>
    </row>
    <row r="38" spans="1:7" ht="21.95" customHeight="1" x14ac:dyDescent="0.25">
      <c r="A38" s="264" t="s">
        <v>168</v>
      </c>
      <c r="B38" s="255">
        <v>0</v>
      </c>
      <c r="C38" s="255">
        <f>'รายงานรับ-จ่าย'!B70</f>
        <v>0</v>
      </c>
      <c r="D38" s="253">
        <f t="shared" si="1"/>
        <v>0</v>
      </c>
      <c r="E38" s="5"/>
    </row>
    <row r="39" spans="1:7" ht="21.95" customHeight="1" x14ac:dyDescent="0.25">
      <c r="A39" s="265" t="s">
        <v>169</v>
      </c>
      <c r="B39" s="252">
        <f>B37+B38</f>
        <v>40702563</v>
      </c>
      <c r="C39" s="252">
        <f>C37+C38</f>
        <v>15674488.200000001</v>
      </c>
      <c r="D39" s="253">
        <f t="shared" si="1"/>
        <v>-25028074.799999997</v>
      </c>
      <c r="E39" s="6"/>
    </row>
    <row r="40" spans="1:7" ht="21.95" customHeight="1" thickBot="1" x14ac:dyDescent="0.3">
      <c r="A40" s="266" t="s">
        <v>170</v>
      </c>
      <c r="B40" s="267"/>
      <c r="C40" s="258">
        <f>C15-C37</f>
        <v>181586.79999999888</v>
      </c>
    </row>
    <row r="41" spans="1:7" ht="21.95" customHeight="1" thickTop="1" x14ac:dyDescent="0.25"/>
  </sheetData>
  <mergeCells count="9">
    <mergeCell ref="A20:A21"/>
    <mergeCell ref="B20:B21"/>
    <mergeCell ref="C20:C21"/>
    <mergeCell ref="A1:D1"/>
    <mergeCell ref="A2:D2"/>
    <mergeCell ref="A3:D3"/>
    <mergeCell ref="A5:A6"/>
    <mergeCell ref="B5:B6"/>
    <mergeCell ref="C5:C6"/>
  </mergeCells>
  <printOptions horizontalCentered="1"/>
  <pageMargins left="0.70866141732283472" right="0.70866141732283472" top="0.39370078740157483" bottom="0.23622047244094491" header="0.31496062992125984" footer="0.31496062992125984"/>
  <pageSetup paperSize="9" scale="90" orientation="portrait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1"/>
  <sheetViews>
    <sheetView topLeftCell="A22" zoomScaleNormal="100" workbookViewId="0">
      <selection activeCell="I10" sqref="I10"/>
    </sheetView>
  </sheetViews>
  <sheetFormatPr defaultRowHeight="24" customHeight="1" x14ac:dyDescent="0.2"/>
  <cols>
    <col min="1" max="1" width="21.85546875" style="286" customWidth="1"/>
    <col min="2" max="2" width="21.5703125" style="286" customWidth="1"/>
    <col min="3" max="3" width="20.140625" style="286" customWidth="1"/>
    <col min="4" max="4" width="18.140625" style="286" customWidth="1"/>
    <col min="5" max="5" width="18.42578125" style="286" customWidth="1"/>
    <col min="6" max="6" width="27" style="286" customWidth="1"/>
    <col min="7" max="7" width="15.42578125" style="286" customWidth="1"/>
    <col min="8" max="16384" width="9.140625" style="286"/>
  </cols>
  <sheetData>
    <row r="1" spans="1:7" ht="24" customHeight="1" x14ac:dyDescent="0.2">
      <c r="A1" s="551" t="s">
        <v>0</v>
      </c>
      <c r="B1" s="551"/>
      <c r="C1" s="551"/>
      <c r="D1" s="551"/>
      <c r="E1" s="551"/>
      <c r="F1" s="551"/>
      <c r="G1" s="551"/>
    </row>
    <row r="2" spans="1:7" ht="24" customHeight="1" x14ac:dyDescent="0.2">
      <c r="A2" s="551" t="s">
        <v>235</v>
      </c>
      <c r="B2" s="551"/>
      <c r="C2" s="551"/>
      <c r="D2" s="551"/>
      <c r="E2" s="551"/>
      <c r="F2" s="551"/>
      <c r="G2" s="551"/>
    </row>
    <row r="3" spans="1:7" ht="24" customHeight="1" x14ac:dyDescent="0.2">
      <c r="A3" s="551" t="str">
        <f>เงินรับฝาก!A4</f>
        <v>ณ  วันที่  31 มีนาคม 2563</v>
      </c>
      <c r="B3" s="551"/>
      <c r="C3" s="551"/>
      <c r="D3" s="551"/>
      <c r="E3" s="551"/>
      <c r="F3" s="551"/>
      <c r="G3" s="551"/>
    </row>
    <row r="4" spans="1:7" ht="24" customHeight="1" x14ac:dyDescent="0.2">
      <c r="A4" s="550" t="s">
        <v>236</v>
      </c>
      <c r="B4" s="550" t="s">
        <v>190</v>
      </c>
      <c r="C4" s="550" t="s">
        <v>52</v>
      </c>
      <c r="D4" s="550" t="s">
        <v>237</v>
      </c>
      <c r="E4" s="550"/>
      <c r="F4" s="287" t="s">
        <v>239</v>
      </c>
      <c r="G4" s="550" t="s">
        <v>173</v>
      </c>
    </row>
    <row r="5" spans="1:7" ht="24" customHeight="1" x14ac:dyDescent="0.2">
      <c r="A5" s="550"/>
      <c r="B5" s="550"/>
      <c r="C5" s="550"/>
      <c r="D5" s="550" t="s">
        <v>238</v>
      </c>
      <c r="E5" s="288" t="s">
        <v>242</v>
      </c>
      <c r="F5" s="289" t="s">
        <v>240</v>
      </c>
      <c r="G5" s="550"/>
    </row>
    <row r="6" spans="1:7" ht="24" customHeight="1" x14ac:dyDescent="0.2">
      <c r="A6" s="550"/>
      <c r="B6" s="550"/>
      <c r="C6" s="550"/>
      <c r="D6" s="550"/>
      <c r="E6" s="290" t="s">
        <v>243</v>
      </c>
      <c r="F6" s="291" t="s">
        <v>241</v>
      </c>
      <c r="G6" s="550"/>
    </row>
    <row r="7" spans="1:7" ht="24" customHeight="1" x14ac:dyDescent="0.2">
      <c r="A7" s="292" t="s">
        <v>245</v>
      </c>
      <c r="B7" s="293" t="s">
        <v>246</v>
      </c>
      <c r="C7" s="294" t="s">
        <v>253</v>
      </c>
      <c r="D7" s="295">
        <f>งบทดลอง!D10</f>
        <v>636023.27</v>
      </c>
      <c r="E7" s="296">
        <v>635986.67000000004</v>
      </c>
      <c r="F7" s="297">
        <f>D7-E7</f>
        <v>36.599999999976717</v>
      </c>
      <c r="G7" s="292"/>
    </row>
    <row r="8" spans="1:7" ht="24" customHeight="1" x14ac:dyDescent="0.2">
      <c r="A8" s="298"/>
      <c r="B8" s="299" t="s">
        <v>247</v>
      </c>
      <c r="C8" s="300" t="s">
        <v>254</v>
      </c>
      <c r="D8" s="301">
        <v>0</v>
      </c>
      <c r="E8" s="298"/>
      <c r="F8" s="302">
        <f t="shared" ref="F8:F19" si="0">D8-E8</f>
        <v>0</v>
      </c>
      <c r="G8" s="298"/>
    </row>
    <row r="9" spans="1:7" ht="24" customHeight="1" x14ac:dyDescent="0.2">
      <c r="A9" s="298"/>
      <c r="B9" s="299" t="s">
        <v>248</v>
      </c>
      <c r="C9" s="300" t="s">
        <v>255</v>
      </c>
      <c r="D9" s="301">
        <f>งบทดลอง!D11</f>
        <v>6251724.0800000001</v>
      </c>
      <c r="E9" s="303">
        <v>6251724.0800000001</v>
      </c>
      <c r="F9" s="302">
        <f>D9-E9</f>
        <v>0</v>
      </c>
      <c r="G9" s="298"/>
    </row>
    <row r="10" spans="1:7" ht="24" customHeight="1" x14ac:dyDescent="0.2">
      <c r="A10" s="298"/>
      <c r="B10" s="299" t="s">
        <v>249</v>
      </c>
      <c r="C10" s="300" t="s">
        <v>256</v>
      </c>
      <c r="D10" s="304">
        <v>0</v>
      </c>
      <c r="E10" s="298"/>
      <c r="F10" s="302">
        <f t="shared" si="0"/>
        <v>0</v>
      </c>
      <c r="G10" s="298"/>
    </row>
    <row r="11" spans="1:7" ht="24" customHeight="1" x14ac:dyDescent="0.2">
      <c r="A11" s="298" t="s">
        <v>250</v>
      </c>
      <c r="B11" s="299" t="s">
        <v>249</v>
      </c>
      <c r="C11" s="305" t="s">
        <v>192</v>
      </c>
      <c r="D11" s="301">
        <f>งบทดลอง!D13</f>
        <v>1473276.31</v>
      </c>
      <c r="E11" s="303">
        <v>1473276.31</v>
      </c>
      <c r="F11" s="302">
        <f t="shared" si="0"/>
        <v>0</v>
      </c>
      <c r="G11" s="298"/>
    </row>
    <row r="12" spans="1:7" ht="24" customHeight="1" x14ac:dyDescent="0.2">
      <c r="A12" s="298"/>
      <c r="B12" s="299" t="s">
        <v>252</v>
      </c>
      <c r="C12" s="305" t="s">
        <v>292</v>
      </c>
      <c r="D12" s="301">
        <f>งบทดลอง!D12</f>
        <v>0</v>
      </c>
      <c r="E12" s="303"/>
      <c r="F12" s="302">
        <f t="shared" si="0"/>
        <v>0</v>
      </c>
      <c r="G12" s="298"/>
    </row>
    <row r="13" spans="1:7" ht="24" customHeight="1" x14ac:dyDescent="0.2">
      <c r="A13" s="298" t="s">
        <v>251</v>
      </c>
      <c r="B13" s="299" t="s">
        <v>249</v>
      </c>
      <c r="C13" s="300" t="s">
        <v>257</v>
      </c>
      <c r="D13" s="304">
        <v>0</v>
      </c>
      <c r="E13" s="303"/>
      <c r="F13" s="302">
        <f>D13-E13</f>
        <v>0</v>
      </c>
      <c r="G13" s="298"/>
    </row>
    <row r="14" spans="1:7" ht="24" customHeight="1" x14ac:dyDescent="0.2">
      <c r="A14" s="306"/>
      <c r="B14" s="299" t="s">
        <v>249</v>
      </c>
      <c r="C14" s="307" t="s">
        <v>258</v>
      </c>
      <c r="D14" s="308">
        <v>0</v>
      </c>
      <c r="E14" s="309"/>
      <c r="F14" s="302">
        <f t="shared" si="0"/>
        <v>0</v>
      </c>
      <c r="G14" s="306"/>
    </row>
    <row r="15" spans="1:7" ht="24" customHeight="1" x14ac:dyDescent="0.2">
      <c r="A15" s="306"/>
      <c r="B15" s="299" t="s">
        <v>249</v>
      </c>
      <c r="C15" s="307" t="s">
        <v>259</v>
      </c>
      <c r="D15" s="308">
        <v>0</v>
      </c>
      <c r="E15" s="309"/>
      <c r="F15" s="302">
        <f t="shared" si="0"/>
        <v>0</v>
      </c>
      <c r="G15" s="306"/>
    </row>
    <row r="16" spans="1:7" ht="24" customHeight="1" x14ac:dyDescent="0.2">
      <c r="A16" s="306"/>
      <c r="B16" s="299" t="s">
        <v>249</v>
      </c>
      <c r="C16" s="310">
        <v>5525000058</v>
      </c>
      <c r="D16" s="308"/>
      <c r="E16" s="309"/>
      <c r="F16" s="302">
        <f t="shared" si="0"/>
        <v>0</v>
      </c>
      <c r="G16" s="306"/>
    </row>
    <row r="17" spans="1:7" ht="24" customHeight="1" x14ac:dyDescent="0.2">
      <c r="A17" s="306"/>
      <c r="B17" s="311" t="s">
        <v>252</v>
      </c>
      <c r="C17" s="307" t="s">
        <v>260</v>
      </c>
      <c r="D17" s="312">
        <f>+งบทดลอง!D7</f>
        <v>1677732.47</v>
      </c>
      <c r="E17" s="309">
        <v>1821677.99</v>
      </c>
      <c r="F17" s="302">
        <f t="shared" si="0"/>
        <v>-143945.52000000002</v>
      </c>
      <c r="G17" s="306"/>
    </row>
    <row r="18" spans="1:7" ht="24" customHeight="1" x14ac:dyDescent="0.2">
      <c r="A18" s="306"/>
      <c r="B18" s="311" t="s">
        <v>252</v>
      </c>
      <c r="C18" s="307" t="s">
        <v>261</v>
      </c>
      <c r="D18" s="312">
        <f>งบทดลอง!D8</f>
        <v>2398504.6</v>
      </c>
      <c r="E18" s="309">
        <v>2403282.15</v>
      </c>
      <c r="F18" s="302">
        <f t="shared" si="0"/>
        <v>-4777.5499999998137</v>
      </c>
      <c r="G18" s="306"/>
    </row>
    <row r="19" spans="1:7" ht="24" customHeight="1" x14ac:dyDescent="0.2">
      <c r="A19" s="306"/>
      <c r="B19" s="311" t="s">
        <v>252</v>
      </c>
      <c r="C19" s="307" t="s">
        <v>262</v>
      </c>
      <c r="D19" s="312">
        <f>งบทดลอง!D9</f>
        <v>197400.38</v>
      </c>
      <c r="E19" s="309">
        <v>198098.8</v>
      </c>
      <c r="F19" s="302">
        <f t="shared" si="0"/>
        <v>-698.4199999999837</v>
      </c>
      <c r="G19" s="306"/>
    </row>
    <row r="20" spans="1:7" ht="24" customHeight="1" x14ac:dyDescent="0.2">
      <c r="A20" s="313"/>
      <c r="B20" s="314"/>
      <c r="C20" s="313"/>
      <c r="D20" s="314"/>
      <c r="E20" s="313"/>
      <c r="F20" s="314"/>
      <c r="G20" s="313"/>
    </row>
    <row r="21" spans="1:7" ht="24" customHeight="1" x14ac:dyDescent="0.2">
      <c r="A21" s="315" t="s">
        <v>244</v>
      </c>
      <c r="B21" s="316"/>
      <c r="C21" s="316"/>
      <c r="D21" s="317">
        <f>SUM(D7:D20)</f>
        <v>12634661.110000001</v>
      </c>
      <c r="E21" s="317">
        <f>SUM(E7:E20)</f>
        <v>12784046.000000002</v>
      </c>
      <c r="F21" s="317">
        <f>SUM(F7:F20)</f>
        <v>-149384.88999999984</v>
      </c>
      <c r="G21" s="316"/>
    </row>
  </sheetData>
  <mergeCells count="9">
    <mergeCell ref="G4:G6"/>
    <mergeCell ref="A1:G1"/>
    <mergeCell ref="A2:G2"/>
    <mergeCell ref="A3:G3"/>
    <mergeCell ref="D4:E4"/>
    <mergeCell ref="D5:D6"/>
    <mergeCell ref="C4:C6"/>
    <mergeCell ref="B4:B6"/>
    <mergeCell ref="A4:A6"/>
  </mergeCells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4"/>
  <sheetViews>
    <sheetView zoomScaleNormal="100" workbookViewId="0">
      <selection activeCell="J26" sqref="J26"/>
    </sheetView>
  </sheetViews>
  <sheetFormatPr defaultRowHeight="23.25" x14ac:dyDescent="0.5"/>
  <cols>
    <col min="1" max="1" width="15.85546875" style="12" customWidth="1"/>
    <col min="2" max="2" width="16.85546875" style="12" customWidth="1"/>
    <col min="3" max="3" width="16.28515625" style="12" customWidth="1"/>
    <col min="4" max="4" width="17.7109375" style="51" customWidth="1"/>
    <col min="5" max="6" width="17.7109375" style="12" customWidth="1"/>
    <col min="7" max="7" width="14.42578125" style="12" customWidth="1"/>
    <col min="8" max="16384" width="9.140625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20" t="s">
        <v>67</v>
      </c>
    </row>
    <row r="2" spans="1:6" x14ac:dyDescent="0.5">
      <c r="A2" s="321"/>
      <c r="B2" s="122"/>
      <c r="C2" s="122"/>
      <c r="D2" s="122"/>
      <c r="E2" s="322" t="s">
        <v>52</v>
      </c>
      <c r="F2" s="323" t="s">
        <v>192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23.2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">
        <v>471</v>
      </c>
      <c r="B6" s="191"/>
      <c r="C6" s="191"/>
      <c r="D6" s="332"/>
      <c r="E6" s="333">
        <f>งบกระทบยอด!E11</f>
        <v>1473276.31</v>
      </c>
      <c r="F6" s="334">
        <f>E6+D11-D18-D27</f>
        <v>1473276.31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338"/>
      <c r="B9" s="339"/>
      <c r="C9" s="339"/>
      <c r="D9" s="97"/>
      <c r="E9" s="335"/>
      <c r="F9" s="336"/>
    </row>
    <row r="10" spans="1:6" s="337" customFormat="1" x14ac:dyDescent="0.5">
      <c r="A10" s="338"/>
      <c r="B10" s="339"/>
      <c r="C10" s="339"/>
      <c r="D10" s="97"/>
      <c r="E10" s="335"/>
      <c r="F10" s="336"/>
    </row>
    <row r="11" spans="1:6" s="337" customFormat="1" ht="24" thickBot="1" x14ac:dyDescent="0.55000000000000004">
      <c r="A11" s="338"/>
      <c r="B11" s="339"/>
      <c r="C11" s="339"/>
      <c r="D11" s="340">
        <f>SUM(D9:D10)</f>
        <v>0</v>
      </c>
      <c r="E11" s="335"/>
      <c r="F11" s="336"/>
    </row>
    <row r="12" spans="1:6" ht="24" thickTop="1" x14ac:dyDescent="0.5">
      <c r="A12" s="30" t="s">
        <v>57</v>
      </c>
      <c r="B12" s="99"/>
      <c r="C12" s="99"/>
      <c r="D12" s="202"/>
      <c r="E12" s="336"/>
      <c r="F12" s="336"/>
    </row>
    <row r="13" spans="1:6" s="342" customFormat="1" x14ac:dyDescent="0.5">
      <c r="A13" s="338" t="s">
        <v>58</v>
      </c>
      <c r="B13" s="337" t="s">
        <v>59</v>
      </c>
      <c r="C13" s="339" t="s">
        <v>191</v>
      </c>
      <c r="D13" s="341" t="s">
        <v>56</v>
      </c>
      <c r="E13" s="336"/>
      <c r="F13" s="336"/>
    </row>
    <row r="14" spans="1:6" s="342" customFormat="1" x14ac:dyDescent="0.5">
      <c r="A14" s="338"/>
      <c r="B14" s="282"/>
      <c r="C14" s="332"/>
      <c r="D14" s="332"/>
      <c r="E14" s="336"/>
      <c r="F14" s="336"/>
    </row>
    <row r="15" spans="1:6" s="342" customFormat="1" x14ac:dyDescent="0.5">
      <c r="A15" s="338"/>
      <c r="B15" s="414"/>
      <c r="C15" s="332"/>
      <c r="D15" s="332"/>
      <c r="E15" s="336"/>
      <c r="F15" s="336"/>
    </row>
    <row r="16" spans="1:6" s="342" customFormat="1" x14ac:dyDescent="0.5">
      <c r="A16" s="343"/>
      <c r="B16" s="414"/>
      <c r="C16" s="332"/>
      <c r="D16" s="332"/>
      <c r="E16" s="344"/>
      <c r="F16" s="336"/>
    </row>
    <row r="17" spans="1:7" s="342" customFormat="1" x14ac:dyDescent="0.5">
      <c r="A17" s="343"/>
      <c r="B17" s="414"/>
      <c r="C17" s="337"/>
      <c r="D17" s="332"/>
      <c r="E17" s="344"/>
      <c r="F17" s="336"/>
    </row>
    <row r="18" spans="1:7" s="342" customFormat="1" ht="24" thickBot="1" x14ac:dyDescent="0.55000000000000004">
      <c r="A18" s="338"/>
      <c r="B18" s="337"/>
      <c r="C18" s="337"/>
      <c r="D18" s="345">
        <f>D14</f>
        <v>0</v>
      </c>
      <c r="E18" s="336"/>
      <c r="F18" s="336"/>
    </row>
    <row r="19" spans="1:7" s="342" customFormat="1" ht="24" thickTop="1" x14ac:dyDescent="0.5">
      <c r="A19" s="30" t="s">
        <v>60</v>
      </c>
      <c r="B19" s="99"/>
      <c r="C19" s="99"/>
      <c r="D19" s="202"/>
      <c r="E19" s="346"/>
      <c r="F19" s="346"/>
    </row>
    <row r="20" spans="1:7" s="342" customFormat="1" x14ac:dyDescent="0.5">
      <c r="A20" s="18" t="s">
        <v>61</v>
      </c>
      <c r="B20" s="99"/>
      <c r="C20" s="99"/>
      <c r="D20" s="202"/>
      <c r="E20" s="346"/>
      <c r="F20" s="346"/>
    </row>
    <row r="21" spans="1:7" x14ac:dyDescent="0.5">
      <c r="A21" s="338" t="s">
        <v>58</v>
      </c>
      <c r="B21" s="337" t="s">
        <v>59</v>
      </c>
      <c r="C21" s="339" t="s">
        <v>191</v>
      </c>
      <c r="D21" s="341" t="s">
        <v>56</v>
      </c>
      <c r="E21" s="346"/>
      <c r="F21" s="346"/>
    </row>
    <row r="22" spans="1:7" x14ac:dyDescent="0.5">
      <c r="A22" s="347"/>
      <c r="B22" s="282"/>
      <c r="C22" s="332"/>
      <c r="D22" s="332"/>
      <c r="E22" s="346"/>
      <c r="F22" s="346"/>
    </row>
    <row r="23" spans="1:7" x14ac:dyDescent="0.5">
      <c r="A23" s="347"/>
      <c r="B23" s="282"/>
      <c r="C23" s="332"/>
      <c r="D23" s="332"/>
      <c r="E23" s="346"/>
      <c r="F23" s="346"/>
    </row>
    <row r="24" spans="1:7" x14ac:dyDescent="0.5">
      <c r="A24" s="347"/>
      <c r="B24" s="282"/>
      <c r="C24" s="332"/>
      <c r="D24" s="332"/>
      <c r="E24" s="346"/>
      <c r="F24" s="346"/>
    </row>
    <row r="25" spans="1:7" x14ac:dyDescent="0.5">
      <c r="A25" s="343"/>
      <c r="B25" s="282"/>
      <c r="C25" s="348"/>
      <c r="D25" s="349"/>
      <c r="E25" s="346"/>
      <c r="F25" s="346"/>
    </row>
    <row r="26" spans="1:7" x14ac:dyDescent="0.5">
      <c r="A26" s="343"/>
      <c r="B26" s="348"/>
      <c r="C26" s="348"/>
      <c r="D26" s="350"/>
      <c r="E26" s="351"/>
      <c r="F26" s="346"/>
    </row>
    <row r="27" spans="1:7" ht="24" thickBot="1" x14ac:dyDescent="0.55000000000000004">
      <c r="A27" s="343"/>
      <c r="B27" s="348"/>
      <c r="C27" s="99"/>
      <c r="D27" s="352">
        <f>SUM(D22:D26)</f>
        <v>0</v>
      </c>
      <c r="E27" s="353"/>
      <c r="F27" s="346"/>
    </row>
    <row r="28" spans="1:7" ht="24" thickTop="1" x14ac:dyDescent="0.5">
      <c r="A28" s="354" t="s">
        <v>472</v>
      </c>
      <c r="B28" s="355"/>
      <c r="C28" s="355"/>
      <c r="D28" s="356"/>
      <c r="E28" s="357">
        <f>งบทดลอง!D13</f>
        <v>1473276.31</v>
      </c>
      <c r="F28" s="357">
        <f>E28</f>
        <v>1473276.31</v>
      </c>
      <c r="G28" s="229">
        <f>F6-F28</f>
        <v>0</v>
      </c>
    </row>
    <row r="29" spans="1:7" x14ac:dyDescent="0.5">
      <c r="A29" s="102" t="s">
        <v>63</v>
      </c>
      <c r="B29" s="95"/>
      <c r="C29" s="95"/>
      <c r="D29" s="358" t="s">
        <v>64</v>
      </c>
      <c r="E29" s="89"/>
      <c r="F29" s="235"/>
    </row>
    <row r="30" spans="1:7" x14ac:dyDescent="0.5">
      <c r="A30" s="102"/>
      <c r="B30" s="95"/>
      <c r="C30" s="95"/>
      <c r="D30" s="359"/>
      <c r="E30" s="95"/>
      <c r="F30" s="360"/>
    </row>
    <row r="31" spans="1:7" x14ac:dyDescent="0.5">
      <c r="A31" s="473" t="s">
        <v>65</v>
      </c>
      <c r="B31" s="478"/>
      <c r="C31" s="474"/>
      <c r="D31" s="473" t="s">
        <v>65</v>
      </c>
      <c r="E31" s="478"/>
      <c r="F31" s="474"/>
    </row>
    <row r="32" spans="1:7" x14ac:dyDescent="0.5">
      <c r="A32" s="473" t="s">
        <v>66</v>
      </c>
      <c r="B32" s="478"/>
      <c r="C32" s="474"/>
      <c r="D32" s="473" t="s">
        <v>66</v>
      </c>
      <c r="E32" s="478"/>
      <c r="F32" s="474"/>
    </row>
    <row r="33" spans="1:6" x14ac:dyDescent="0.5">
      <c r="A33" s="473" t="s">
        <v>289</v>
      </c>
      <c r="B33" s="478"/>
      <c r="C33" s="474"/>
      <c r="D33" s="473" t="s">
        <v>289</v>
      </c>
      <c r="E33" s="478"/>
      <c r="F33" s="474"/>
    </row>
    <row r="34" spans="1:6" x14ac:dyDescent="0.5">
      <c r="A34" s="361"/>
      <c r="B34" s="362"/>
      <c r="C34" s="362"/>
      <c r="D34" s="363"/>
      <c r="E34" s="362"/>
      <c r="F34" s="364"/>
    </row>
  </sheetData>
  <mergeCells count="8">
    <mergeCell ref="A33:C33"/>
    <mergeCell ref="D33:F33"/>
    <mergeCell ref="A3:F3"/>
    <mergeCell ref="E5:F5"/>
    <mergeCell ref="A31:C31"/>
    <mergeCell ref="D31:F31"/>
    <mergeCell ref="A32:C32"/>
    <mergeCell ref="D32:F32"/>
  </mergeCells>
  <phoneticPr fontId="2" type="noConversion"/>
  <printOptions horizontalCentered="1"/>
  <pageMargins left="0.74803149606299213" right="0.15748031496062992" top="0.7" bottom="0.35433070866141736" header="0.31496062992125984" footer="0.1574803149606299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3"/>
  <sheetViews>
    <sheetView topLeftCell="A16" zoomScaleNormal="100" workbookViewId="0">
      <selection activeCell="I24" sqref="I24"/>
    </sheetView>
  </sheetViews>
  <sheetFormatPr defaultRowHeight="23.25" x14ac:dyDescent="0.5"/>
  <cols>
    <col min="1" max="2" width="16.140625" style="12" customWidth="1"/>
    <col min="3" max="3" width="16.28515625" style="12" customWidth="1"/>
    <col min="4" max="4" width="17.7109375" style="51" customWidth="1"/>
    <col min="5" max="6" width="17.7109375" style="12" customWidth="1"/>
    <col min="7" max="7" width="14.42578125" style="12" customWidth="1"/>
    <col min="8" max="16384" width="9.140625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65" t="s">
        <v>193</v>
      </c>
    </row>
    <row r="2" spans="1:6" ht="29.25" x14ac:dyDescent="0.6">
      <c r="A2" s="366"/>
      <c r="B2" s="367"/>
      <c r="C2" s="367"/>
      <c r="D2" s="367"/>
      <c r="E2" s="322" t="s">
        <v>52</v>
      </c>
      <c r="F2" s="323" t="s">
        <v>194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13.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tr">
        <f>กรุงไทย!A6</f>
        <v>ยอดเงินคงเหลือตามรายงานธนาคาร ณ วันที่  31 มีนาคม 2563</v>
      </c>
      <c r="B6" s="191"/>
      <c r="C6" s="191"/>
      <c r="D6" s="332"/>
      <c r="E6" s="368">
        <f>งบกระทบยอด!E17</f>
        <v>1821677.99</v>
      </c>
      <c r="F6" s="334">
        <f>E6+D11-D25-D31</f>
        <v>1677732.47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338"/>
      <c r="B9" s="339"/>
      <c r="C9" s="339"/>
      <c r="D9" s="339"/>
      <c r="E9" s="335"/>
      <c r="F9" s="336"/>
    </row>
    <row r="10" spans="1:6" s="337" customFormat="1" x14ac:dyDescent="0.5">
      <c r="A10" s="338"/>
      <c r="B10" s="339"/>
      <c r="C10" s="339"/>
      <c r="D10" s="339"/>
      <c r="E10" s="335"/>
      <c r="F10" s="336"/>
    </row>
    <row r="11" spans="1:6" s="337" customFormat="1" ht="24" thickBot="1" x14ac:dyDescent="0.55000000000000004">
      <c r="A11" s="338"/>
      <c r="B11" s="339"/>
      <c r="C11" s="339"/>
      <c r="D11" s="340">
        <f>SUM(D10:D10)</f>
        <v>0</v>
      </c>
      <c r="E11" s="335"/>
      <c r="F11" s="336"/>
    </row>
    <row r="12" spans="1:6" ht="24" thickTop="1" x14ac:dyDescent="0.5">
      <c r="A12" s="30" t="s">
        <v>57</v>
      </c>
      <c r="B12" s="99"/>
      <c r="C12" s="99"/>
      <c r="D12" s="202"/>
      <c r="E12" s="336"/>
      <c r="F12" s="336"/>
    </row>
    <row r="13" spans="1:6" s="342" customFormat="1" x14ac:dyDescent="0.5">
      <c r="A13" s="338" t="s">
        <v>58</v>
      </c>
      <c r="B13" s="337" t="s">
        <v>59</v>
      </c>
      <c r="C13" s="339" t="s">
        <v>191</v>
      </c>
      <c r="D13" s="341" t="s">
        <v>56</v>
      </c>
      <c r="E13" s="336"/>
      <c r="F13" s="336"/>
    </row>
    <row r="14" spans="1:6" s="459" customFormat="1" ht="24" customHeight="1" x14ac:dyDescent="0.5">
      <c r="A14" s="456"/>
      <c r="B14" s="463">
        <v>37675854</v>
      </c>
      <c r="C14" s="457"/>
      <c r="D14" s="416">
        <v>15246</v>
      </c>
      <c r="E14" s="458"/>
      <c r="F14" s="458"/>
    </row>
    <row r="15" spans="1:6" s="342" customFormat="1" ht="24" customHeight="1" x14ac:dyDescent="0.5">
      <c r="A15" s="347"/>
      <c r="B15" s="463">
        <v>37675892</v>
      </c>
      <c r="C15" s="337"/>
      <c r="D15" s="416">
        <v>1000</v>
      </c>
      <c r="E15" s="336"/>
      <c r="F15" s="336"/>
    </row>
    <row r="16" spans="1:6" s="342" customFormat="1" ht="24" customHeight="1" x14ac:dyDescent="0.5">
      <c r="A16" s="347"/>
      <c r="B16" s="463">
        <v>37675901</v>
      </c>
      <c r="C16" s="337"/>
      <c r="D16" s="416">
        <v>5420</v>
      </c>
      <c r="E16" s="336"/>
      <c r="F16" s="336"/>
    </row>
    <row r="17" spans="1:7" s="342" customFormat="1" ht="24" customHeight="1" x14ac:dyDescent="0.5">
      <c r="A17" s="347"/>
      <c r="B17" s="463">
        <v>37675903</v>
      </c>
      <c r="C17" s="337"/>
      <c r="D17" s="416">
        <v>4080.78</v>
      </c>
      <c r="E17" s="336"/>
      <c r="F17" s="336"/>
    </row>
    <row r="18" spans="1:7" s="342" customFormat="1" ht="24" customHeight="1" x14ac:dyDescent="0.5">
      <c r="A18" s="347"/>
      <c r="B18" s="463">
        <v>37675904</v>
      </c>
      <c r="C18" s="337"/>
      <c r="D18" s="416">
        <v>32043.14</v>
      </c>
      <c r="E18" s="336"/>
      <c r="F18" s="336"/>
    </row>
    <row r="19" spans="1:7" s="342" customFormat="1" ht="24" customHeight="1" x14ac:dyDescent="0.5">
      <c r="A19" s="347"/>
      <c r="B19" s="463">
        <v>37675905</v>
      </c>
      <c r="C19" s="337"/>
      <c r="D19" s="416">
        <v>64689.72</v>
      </c>
      <c r="E19" s="336"/>
      <c r="F19" s="336"/>
    </row>
    <row r="20" spans="1:7" s="342" customFormat="1" ht="24" customHeight="1" x14ac:dyDescent="0.5">
      <c r="A20" s="347"/>
      <c r="B20" s="463">
        <v>37675906</v>
      </c>
      <c r="C20" s="337"/>
      <c r="D20" s="416">
        <v>360</v>
      </c>
      <c r="E20" s="336"/>
      <c r="F20" s="336"/>
    </row>
    <row r="21" spans="1:7" s="342" customFormat="1" ht="24" customHeight="1" x14ac:dyDescent="0.5">
      <c r="A21" s="347"/>
      <c r="B21" s="463">
        <v>37675907</v>
      </c>
      <c r="C21" s="337"/>
      <c r="D21" s="416">
        <v>14527.94</v>
      </c>
      <c r="E21" s="336"/>
      <c r="F21" s="336"/>
    </row>
    <row r="22" spans="1:7" s="342" customFormat="1" ht="24" customHeight="1" x14ac:dyDescent="0.5">
      <c r="A22" s="347"/>
      <c r="B22" s="463">
        <v>37675907</v>
      </c>
      <c r="C22" s="338"/>
      <c r="D22" s="416">
        <v>6577.94</v>
      </c>
      <c r="E22" s="336"/>
      <c r="F22" s="336"/>
    </row>
    <row r="23" spans="1:7" s="342" customFormat="1" ht="24" customHeight="1" x14ac:dyDescent="0.5">
      <c r="A23" s="347"/>
      <c r="B23" s="463"/>
      <c r="C23" s="338"/>
      <c r="D23" s="416"/>
      <c r="E23" s="336"/>
      <c r="F23" s="336"/>
    </row>
    <row r="24" spans="1:7" s="342" customFormat="1" ht="24" customHeight="1" x14ac:dyDescent="0.5">
      <c r="A24" s="347"/>
      <c r="B24" s="463"/>
      <c r="C24" s="338"/>
      <c r="D24" s="416"/>
      <c r="E24" s="336"/>
      <c r="F24" s="336"/>
    </row>
    <row r="25" spans="1:7" s="342" customFormat="1" ht="24" thickBot="1" x14ac:dyDescent="0.55000000000000004">
      <c r="A25" s="347"/>
      <c r="B25" s="460"/>
      <c r="C25" s="99"/>
      <c r="D25" s="370">
        <f>SUM(D14:D24)</f>
        <v>143945.51999999999</v>
      </c>
      <c r="E25" s="333"/>
      <c r="F25" s="346"/>
    </row>
    <row r="26" spans="1:7" s="342" customFormat="1" ht="24" thickTop="1" x14ac:dyDescent="0.5">
      <c r="A26" s="30" t="s">
        <v>60</v>
      </c>
      <c r="B26" s="99"/>
      <c r="C26" s="99"/>
      <c r="D26" s="202"/>
      <c r="E26" s="346"/>
      <c r="F26" s="346"/>
    </row>
    <row r="27" spans="1:7" s="342" customFormat="1" x14ac:dyDescent="0.5">
      <c r="A27" s="18" t="s">
        <v>61</v>
      </c>
      <c r="B27" s="99"/>
      <c r="C27" s="99"/>
      <c r="D27" s="202"/>
      <c r="E27" s="346"/>
      <c r="F27" s="346"/>
    </row>
    <row r="28" spans="1:7" s="342" customFormat="1" x14ac:dyDescent="0.5">
      <c r="A28" s="338" t="s">
        <v>58</v>
      </c>
      <c r="B28" s="337" t="s">
        <v>59</v>
      </c>
      <c r="C28" s="339" t="s">
        <v>191</v>
      </c>
      <c r="D28" s="341" t="s">
        <v>56</v>
      </c>
      <c r="E28" s="346"/>
      <c r="F28" s="346"/>
    </row>
    <row r="29" spans="1:7" s="342" customFormat="1" x14ac:dyDescent="0.5">
      <c r="A29" s="343"/>
      <c r="B29" s="282"/>
      <c r="C29" s="371"/>
      <c r="D29" s="349"/>
      <c r="E29" s="346"/>
      <c r="F29" s="346"/>
    </row>
    <row r="30" spans="1:7" s="342" customFormat="1" x14ac:dyDescent="0.5">
      <c r="A30" s="343"/>
      <c r="B30" s="282"/>
      <c r="C30" s="282"/>
      <c r="D30" s="349"/>
      <c r="E30" s="351"/>
      <c r="F30" s="346"/>
    </row>
    <row r="31" spans="1:7" s="342" customFormat="1" ht="24" thickBot="1" x14ac:dyDescent="0.55000000000000004">
      <c r="A31" s="343"/>
      <c r="B31" s="348"/>
      <c r="C31" s="99"/>
      <c r="D31" s="372">
        <f>SUM(D29:D30)</f>
        <v>0</v>
      </c>
      <c r="E31" s="353"/>
      <c r="F31" s="346"/>
    </row>
    <row r="32" spans="1:7" s="342" customFormat="1" ht="24" thickTop="1" x14ac:dyDescent="0.5">
      <c r="A32" s="354" t="str">
        <f>กรุงไทย!A28</f>
        <v>ยอดคงเหลือตามบัญชี ณ วันที่  31  มีนาคม 2563</v>
      </c>
      <c r="B32" s="355"/>
      <c r="C32" s="355"/>
      <c r="D32" s="356"/>
      <c r="E32" s="357">
        <f>+งบทดลอง!D7</f>
        <v>1677732.47</v>
      </c>
      <c r="F32" s="357">
        <f>E32</f>
        <v>1677732.47</v>
      </c>
      <c r="G32" s="373">
        <f>F6-F32</f>
        <v>0</v>
      </c>
    </row>
    <row r="33" spans="1:6" s="342" customFormat="1" x14ac:dyDescent="0.5">
      <c r="A33" s="102" t="s">
        <v>63</v>
      </c>
      <c r="B33" s="95"/>
      <c r="C33" s="95"/>
      <c r="D33" s="358" t="s">
        <v>64</v>
      </c>
      <c r="E33" s="89"/>
      <c r="F33" s="235"/>
    </row>
    <row r="34" spans="1:6" s="342" customFormat="1" x14ac:dyDescent="0.5">
      <c r="A34" s="473" t="s">
        <v>65</v>
      </c>
      <c r="B34" s="478"/>
      <c r="C34" s="474"/>
      <c r="D34" s="473" t="s">
        <v>65</v>
      </c>
      <c r="E34" s="478"/>
      <c r="F34" s="474"/>
    </row>
    <row r="35" spans="1:6" s="342" customFormat="1" x14ac:dyDescent="0.5">
      <c r="A35" s="473" t="str">
        <f>ใบผ่าน1!A41</f>
        <v>(นายสงกรานต์  อัครวิจิตร)</v>
      </c>
      <c r="B35" s="478"/>
      <c r="C35" s="474"/>
      <c r="D35" s="473" t="s">
        <v>66</v>
      </c>
      <c r="E35" s="478"/>
      <c r="F35" s="474"/>
    </row>
    <row r="36" spans="1:6" s="342" customFormat="1" x14ac:dyDescent="0.5">
      <c r="A36" s="473" t="str">
        <f>ใบผ่าน1!A42</f>
        <v>ผู้อำนวยการกองคลัง</v>
      </c>
      <c r="B36" s="478"/>
      <c r="C36" s="474"/>
      <c r="D36" s="473" t="s">
        <v>289</v>
      </c>
      <c r="E36" s="478"/>
      <c r="F36" s="474"/>
    </row>
    <row r="37" spans="1:6" s="342" customFormat="1" x14ac:dyDescent="0.5">
      <c r="A37" s="361"/>
      <c r="B37" s="362"/>
      <c r="C37" s="362"/>
      <c r="D37" s="363"/>
      <c r="E37" s="362"/>
      <c r="F37" s="364"/>
    </row>
    <row r="38" spans="1:6" s="342" customFormat="1" x14ac:dyDescent="0.5">
      <c r="A38" s="12"/>
      <c r="B38" s="12"/>
      <c r="C38" s="12"/>
      <c r="D38" s="51"/>
      <c r="E38" s="12"/>
      <c r="F38" s="12"/>
    </row>
    <row r="39" spans="1:6" s="342" customFormat="1" x14ac:dyDescent="0.5">
      <c r="A39" s="12"/>
      <c r="B39" s="12"/>
      <c r="C39" s="12"/>
      <c r="D39" s="51"/>
      <c r="E39" s="12"/>
      <c r="F39" s="12"/>
    </row>
    <row r="40" spans="1:6" s="342" customFormat="1" x14ac:dyDescent="0.5">
      <c r="A40" s="12"/>
      <c r="B40" s="12"/>
      <c r="C40" s="12"/>
      <c r="D40" s="51"/>
      <c r="E40" s="12"/>
      <c r="F40" s="12"/>
    </row>
    <row r="41" spans="1:6" s="342" customFormat="1" x14ac:dyDescent="0.5">
      <c r="A41" s="12"/>
      <c r="B41" s="12"/>
      <c r="C41" s="12"/>
      <c r="D41" s="51"/>
      <c r="E41" s="12"/>
      <c r="F41" s="12"/>
    </row>
    <row r="42" spans="1:6" s="342" customFormat="1" x14ac:dyDescent="0.5">
      <c r="A42" s="12"/>
      <c r="B42" s="12"/>
      <c r="C42" s="12"/>
      <c r="D42" s="51"/>
      <c r="E42" s="12"/>
      <c r="F42" s="12"/>
    </row>
    <row r="43" spans="1:6" s="342" customFormat="1" x14ac:dyDescent="0.5">
      <c r="A43" s="12"/>
      <c r="B43" s="12"/>
      <c r="C43" s="12"/>
      <c r="D43" s="51"/>
      <c r="E43" s="12"/>
      <c r="F43" s="12"/>
    </row>
    <row r="44" spans="1:6" s="342" customFormat="1" x14ac:dyDescent="0.5">
      <c r="A44" s="12"/>
      <c r="B44" s="12"/>
      <c r="C44" s="12"/>
      <c r="D44" s="51"/>
      <c r="E44" s="12"/>
      <c r="F44" s="12"/>
    </row>
    <row r="45" spans="1:6" s="342" customFormat="1" x14ac:dyDescent="0.5">
      <c r="A45" s="12"/>
      <c r="B45" s="12"/>
      <c r="C45" s="12"/>
      <c r="D45" s="51"/>
      <c r="E45" s="12"/>
      <c r="F45" s="12"/>
    </row>
    <row r="46" spans="1:6" s="342" customFormat="1" x14ac:dyDescent="0.5">
      <c r="A46" s="12"/>
      <c r="B46" s="12"/>
      <c r="C46" s="12"/>
      <c r="D46" s="51"/>
      <c r="E46" s="12"/>
      <c r="F46" s="12"/>
    </row>
    <row r="47" spans="1:6" s="342" customFormat="1" x14ac:dyDescent="0.5">
      <c r="A47" s="12"/>
      <c r="B47" s="12"/>
      <c r="C47" s="12"/>
      <c r="D47" s="51"/>
      <c r="E47" s="12"/>
      <c r="F47" s="12"/>
    </row>
    <row r="48" spans="1:6" s="342" customFormat="1" x14ac:dyDescent="0.5">
      <c r="A48" s="12"/>
      <c r="B48" s="12"/>
      <c r="C48" s="12"/>
      <c r="D48" s="51"/>
      <c r="E48" s="12"/>
      <c r="F48" s="12"/>
    </row>
    <row r="49" spans="1:6" s="342" customFormat="1" x14ac:dyDescent="0.5">
      <c r="A49" s="12"/>
      <c r="B49" s="12"/>
      <c r="C49" s="12"/>
      <c r="D49" s="51"/>
      <c r="E49" s="12"/>
      <c r="F49" s="12"/>
    </row>
    <row r="50" spans="1:6" s="342" customFormat="1" x14ac:dyDescent="0.5">
      <c r="A50" s="12"/>
      <c r="B50" s="12"/>
      <c r="C50" s="12"/>
      <c r="D50" s="51"/>
      <c r="E50" s="12"/>
      <c r="F50" s="12"/>
    </row>
    <row r="51" spans="1:6" s="342" customFormat="1" x14ac:dyDescent="0.5">
      <c r="A51" s="12"/>
      <c r="B51" s="12"/>
      <c r="C51" s="12"/>
      <c r="D51" s="51"/>
      <c r="E51" s="12"/>
      <c r="F51" s="12"/>
    </row>
    <row r="52" spans="1:6" s="342" customFormat="1" x14ac:dyDescent="0.5">
      <c r="A52" s="12"/>
      <c r="B52" s="12"/>
      <c r="C52" s="12"/>
      <c r="D52" s="51"/>
      <c r="E52" s="12"/>
      <c r="F52" s="12"/>
    </row>
    <row r="53" spans="1:6" s="342" customFormat="1" x14ac:dyDescent="0.5">
      <c r="A53" s="12"/>
      <c r="B53" s="12"/>
      <c r="C53" s="12"/>
      <c r="D53" s="51"/>
      <c r="E53" s="12"/>
      <c r="F53" s="12"/>
    </row>
    <row r="54" spans="1:6" s="342" customFormat="1" x14ac:dyDescent="0.5">
      <c r="A54" s="12"/>
      <c r="B54" s="12"/>
      <c r="C54" s="12"/>
      <c r="D54" s="51"/>
      <c r="E54" s="12"/>
      <c r="F54" s="12"/>
    </row>
    <row r="55" spans="1:6" s="342" customFormat="1" x14ac:dyDescent="0.5">
      <c r="A55" s="12"/>
      <c r="B55" s="12"/>
      <c r="C55" s="12"/>
      <c r="D55" s="51"/>
      <c r="E55" s="12"/>
      <c r="F55" s="12"/>
    </row>
    <row r="56" spans="1:6" s="342" customFormat="1" x14ac:dyDescent="0.5">
      <c r="A56" s="12"/>
      <c r="B56" s="12"/>
      <c r="C56" s="12"/>
      <c r="D56" s="51"/>
      <c r="E56" s="12"/>
      <c r="F56" s="12"/>
    </row>
    <row r="57" spans="1:6" s="342" customFormat="1" x14ac:dyDescent="0.5">
      <c r="A57" s="12"/>
      <c r="B57" s="12"/>
      <c r="C57" s="12"/>
      <c r="D57" s="51"/>
      <c r="E57" s="12"/>
      <c r="F57" s="12"/>
    </row>
    <row r="58" spans="1:6" s="342" customFormat="1" x14ac:dyDescent="0.5">
      <c r="A58" s="12"/>
      <c r="B58" s="12"/>
      <c r="C58" s="12"/>
      <c r="D58" s="51"/>
      <c r="E58" s="12"/>
      <c r="F58" s="12"/>
    </row>
    <row r="59" spans="1:6" s="342" customFormat="1" x14ac:dyDescent="0.5">
      <c r="A59" s="12"/>
      <c r="B59" s="12"/>
      <c r="C59" s="12"/>
      <c r="D59" s="51"/>
      <c r="E59" s="12"/>
      <c r="F59" s="12"/>
    </row>
    <row r="60" spans="1:6" s="342" customFormat="1" x14ac:dyDescent="0.5">
      <c r="A60" s="12"/>
      <c r="B60" s="12"/>
      <c r="C60" s="12"/>
      <c r="D60" s="51"/>
      <c r="E60" s="12"/>
      <c r="F60" s="12"/>
    </row>
    <row r="61" spans="1:6" s="342" customFormat="1" x14ac:dyDescent="0.5">
      <c r="A61" s="12"/>
      <c r="B61" s="12"/>
      <c r="C61" s="12"/>
      <c r="D61" s="51"/>
      <c r="E61" s="12"/>
      <c r="F61" s="12"/>
    </row>
    <row r="62" spans="1:6" s="342" customFormat="1" x14ac:dyDescent="0.5">
      <c r="A62" s="12"/>
      <c r="B62" s="12"/>
      <c r="C62" s="12"/>
      <c r="D62" s="51"/>
      <c r="E62" s="12"/>
      <c r="F62" s="12"/>
    </row>
    <row r="63" spans="1:6" s="342" customFormat="1" x14ac:dyDescent="0.5">
      <c r="A63" s="12"/>
      <c r="B63" s="12"/>
      <c r="C63" s="12"/>
      <c r="D63" s="51"/>
      <c r="E63" s="12"/>
      <c r="F63" s="12"/>
    </row>
    <row r="64" spans="1:6" s="342" customFormat="1" x14ac:dyDescent="0.5">
      <c r="A64" s="12"/>
      <c r="B64" s="12"/>
      <c r="C64" s="12"/>
      <c r="D64" s="51"/>
      <c r="E64" s="12"/>
      <c r="F64" s="12"/>
    </row>
    <row r="65" spans="1:7" s="342" customFormat="1" x14ac:dyDescent="0.5">
      <c r="A65" s="12"/>
      <c r="B65" s="12"/>
      <c r="C65" s="12"/>
      <c r="D65" s="51"/>
      <c r="E65" s="12"/>
      <c r="F65" s="12"/>
    </row>
    <row r="66" spans="1:7" s="342" customFormat="1" x14ac:dyDescent="0.5">
      <c r="A66" s="12"/>
      <c r="B66" s="12"/>
      <c r="C66" s="12"/>
      <c r="D66" s="51"/>
      <c r="E66" s="12"/>
      <c r="F66" s="12"/>
    </row>
    <row r="67" spans="1:7" s="342" customFormat="1" x14ac:dyDescent="0.5">
      <c r="A67" s="12"/>
      <c r="B67" s="12"/>
      <c r="C67" s="12"/>
      <c r="D67" s="51"/>
      <c r="E67" s="12"/>
      <c r="F67" s="12"/>
    </row>
    <row r="68" spans="1:7" s="342" customFormat="1" x14ac:dyDescent="0.5">
      <c r="A68" s="12"/>
      <c r="B68" s="12"/>
      <c r="C68" s="12"/>
      <c r="D68" s="51"/>
      <c r="E68" s="12"/>
      <c r="F68" s="12"/>
    </row>
    <row r="69" spans="1:7" s="342" customFormat="1" x14ac:dyDescent="0.5">
      <c r="A69" s="12"/>
      <c r="B69" s="12"/>
      <c r="C69" s="12"/>
      <c r="D69" s="51"/>
      <c r="E69" s="12"/>
      <c r="F69" s="12"/>
    </row>
    <row r="70" spans="1:7" s="342" customFormat="1" x14ac:dyDescent="0.5">
      <c r="A70" s="12"/>
      <c r="B70" s="12"/>
      <c r="C70" s="12"/>
      <c r="D70" s="51"/>
      <c r="E70" s="12"/>
      <c r="F70" s="12"/>
    </row>
    <row r="71" spans="1:7" s="342" customFormat="1" x14ac:dyDescent="0.5">
      <c r="A71" s="12"/>
      <c r="B71" s="12"/>
      <c r="C71" s="12"/>
      <c r="D71" s="51"/>
      <c r="E71" s="12"/>
      <c r="F71" s="12"/>
    </row>
    <row r="78" spans="1:7" x14ac:dyDescent="0.5">
      <c r="G78" s="94"/>
    </row>
    <row r="83" spans="4:4" ht="10.5" customHeight="1" x14ac:dyDescent="0.5">
      <c r="D83" s="12"/>
    </row>
  </sheetData>
  <mergeCells count="8">
    <mergeCell ref="A35:C35"/>
    <mergeCell ref="D35:F35"/>
    <mergeCell ref="A36:C36"/>
    <mergeCell ref="D36:F36"/>
    <mergeCell ref="A3:F3"/>
    <mergeCell ref="E5:F5"/>
    <mergeCell ref="A34:C34"/>
    <mergeCell ref="D34:F34"/>
  </mergeCells>
  <printOptions horizontalCentered="1"/>
  <pageMargins left="0.74803149606299213" right="0.15748031496062992" top="0.7" bottom="0.35433070866141736" header="0.31496062992125984" footer="0.15748031496062992"/>
  <pageSetup paperSize="9"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7"/>
  <sheetViews>
    <sheetView topLeftCell="A31" zoomScaleNormal="100" workbookViewId="0">
      <selection activeCell="J40" sqref="J40"/>
    </sheetView>
  </sheetViews>
  <sheetFormatPr defaultRowHeight="23.25" x14ac:dyDescent="0.5"/>
  <cols>
    <col min="1" max="1" width="17.7109375" style="12" customWidth="1"/>
    <col min="2" max="2" width="22.42578125" style="12" customWidth="1"/>
    <col min="3" max="3" width="17.7109375" style="12" customWidth="1"/>
    <col min="4" max="4" width="17.7109375" style="51" customWidth="1"/>
    <col min="5" max="6" width="17.7109375" style="12" customWidth="1"/>
    <col min="7" max="7" width="14.42578125" style="12" customWidth="1"/>
    <col min="8" max="16384" width="9.140625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65" t="s">
        <v>193</v>
      </c>
    </row>
    <row r="2" spans="1:6" ht="29.25" x14ac:dyDescent="0.6">
      <c r="A2" s="366"/>
      <c r="B2" s="367"/>
      <c r="C2" s="367"/>
      <c r="D2" s="367"/>
      <c r="E2" s="322" t="s">
        <v>52</v>
      </c>
      <c r="F2" s="323" t="s">
        <v>195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23.2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tr">
        <f>กรุงไทย!A6</f>
        <v>ยอดเงินคงเหลือตามรายงานธนาคาร ณ วันที่  31 มีนาคม 2563</v>
      </c>
      <c r="B6" s="191"/>
      <c r="C6" s="191"/>
      <c r="D6" s="332"/>
      <c r="E6" s="368">
        <f>งบกระทบยอด!E19</f>
        <v>198098.8</v>
      </c>
      <c r="F6" s="334">
        <f>E6+D12-D22-D30</f>
        <v>197400.37999999998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461"/>
      <c r="B9" s="97"/>
      <c r="C9" s="339"/>
      <c r="D9" s="97"/>
      <c r="E9" s="335"/>
      <c r="F9" s="336"/>
    </row>
    <row r="10" spans="1:6" s="337" customFormat="1" x14ac:dyDescent="0.5">
      <c r="A10" s="338"/>
      <c r="B10" s="339"/>
      <c r="C10" s="339"/>
      <c r="D10" s="97"/>
      <c r="E10" s="335"/>
      <c r="F10" s="336"/>
    </row>
    <row r="11" spans="1:6" s="337" customFormat="1" x14ac:dyDescent="0.5">
      <c r="A11" s="338"/>
      <c r="B11" s="339"/>
      <c r="C11" s="339"/>
      <c r="D11" s="97"/>
      <c r="E11" s="335"/>
      <c r="F11" s="336"/>
    </row>
    <row r="12" spans="1:6" ht="24" thickBot="1" x14ac:dyDescent="0.55000000000000004">
      <c r="A12" s="30"/>
      <c r="B12" s="99"/>
      <c r="C12" s="99"/>
      <c r="D12" s="462">
        <f>+D9</f>
        <v>0</v>
      </c>
      <c r="E12" s="346"/>
      <c r="F12" s="346"/>
    </row>
    <row r="13" spans="1:6" ht="24" thickTop="1" x14ac:dyDescent="0.5">
      <c r="A13" s="30" t="s">
        <v>57</v>
      </c>
      <c r="B13" s="99"/>
      <c r="C13" s="99"/>
      <c r="D13" s="202"/>
      <c r="E13" s="336"/>
      <c r="F13" s="336"/>
    </row>
    <row r="14" spans="1:6" s="342" customFormat="1" x14ac:dyDescent="0.5">
      <c r="A14" s="338" t="s">
        <v>58</v>
      </c>
      <c r="B14" s="337" t="s">
        <v>59</v>
      </c>
      <c r="C14" s="339" t="s">
        <v>191</v>
      </c>
      <c r="D14" s="341" t="s">
        <v>56</v>
      </c>
      <c r="E14" s="336"/>
      <c r="F14" s="336"/>
    </row>
    <row r="15" spans="1:6" s="342" customFormat="1" x14ac:dyDescent="0.5">
      <c r="A15" s="466">
        <v>242063</v>
      </c>
      <c r="B15" s="469" t="s">
        <v>478</v>
      </c>
      <c r="C15" s="339"/>
      <c r="D15" s="465" t="s">
        <v>475</v>
      </c>
      <c r="E15" s="336"/>
      <c r="F15" s="336"/>
    </row>
    <row r="16" spans="1:6" s="342" customFormat="1" x14ac:dyDescent="0.5">
      <c r="A16" s="347">
        <v>242244</v>
      </c>
      <c r="B16" s="469" t="s">
        <v>478</v>
      </c>
      <c r="C16" s="337"/>
      <c r="D16" s="369">
        <v>393.08</v>
      </c>
      <c r="E16" s="336"/>
      <c r="F16" s="336"/>
    </row>
    <row r="17" spans="1:7" s="342" customFormat="1" x14ac:dyDescent="0.5">
      <c r="A17" s="347"/>
      <c r="B17" s="282"/>
      <c r="C17" s="337"/>
      <c r="D17" s="374"/>
      <c r="E17" s="336"/>
      <c r="F17" s="336"/>
    </row>
    <row r="18" spans="1:7" s="342" customFormat="1" x14ac:dyDescent="0.5">
      <c r="A18" s="347"/>
      <c r="B18" s="282"/>
      <c r="C18" s="337"/>
      <c r="D18" s="374"/>
      <c r="E18" s="336"/>
      <c r="F18" s="336"/>
    </row>
    <row r="19" spans="1:7" s="342" customFormat="1" x14ac:dyDescent="0.5">
      <c r="A19" s="347"/>
      <c r="B19" s="282"/>
      <c r="C19" s="337"/>
      <c r="D19" s="374"/>
      <c r="E19" s="336"/>
      <c r="F19" s="336"/>
    </row>
    <row r="20" spans="1:7" s="342" customFormat="1" x14ac:dyDescent="0.5">
      <c r="A20" s="347"/>
      <c r="B20" s="282"/>
      <c r="C20" s="337"/>
      <c r="D20" s="374"/>
      <c r="E20" s="336"/>
      <c r="F20" s="336"/>
    </row>
    <row r="21" spans="1:7" s="342" customFormat="1" x14ac:dyDescent="0.5">
      <c r="A21" s="347"/>
      <c r="B21" s="282"/>
      <c r="C21" s="337"/>
      <c r="D21" s="374"/>
      <c r="E21" s="336"/>
      <c r="F21" s="336"/>
    </row>
    <row r="22" spans="1:7" s="342" customFormat="1" ht="24" thickBot="1" x14ac:dyDescent="0.55000000000000004">
      <c r="A22" s="347"/>
      <c r="B22" s="282"/>
      <c r="C22" s="337"/>
      <c r="D22" s="381">
        <f>+D15+D16</f>
        <v>698.42</v>
      </c>
      <c r="E22" s="336"/>
      <c r="F22" s="336"/>
    </row>
    <row r="23" spans="1:7" s="342" customFormat="1" ht="24" thickTop="1" x14ac:dyDescent="0.5">
      <c r="A23" s="30" t="s">
        <v>60</v>
      </c>
      <c r="B23" s="99"/>
      <c r="C23" s="99"/>
      <c r="D23" s="202"/>
      <c r="E23" s="346"/>
      <c r="F23" s="346"/>
    </row>
    <row r="24" spans="1:7" s="342" customFormat="1" x14ac:dyDescent="0.5">
      <c r="A24" s="18" t="s">
        <v>61</v>
      </c>
      <c r="B24" s="99"/>
      <c r="C24" s="99"/>
      <c r="D24" s="202"/>
      <c r="E24" s="346"/>
      <c r="F24" s="346"/>
    </row>
    <row r="25" spans="1:7" x14ac:dyDescent="0.5">
      <c r="A25" s="338" t="s">
        <v>58</v>
      </c>
      <c r="B25" s="337" t="s">
        <v>59</v>
      </c>
      <c r="C25" s="339" t="s">
        <v>191</v>
      </c>
      <c r="D25" s="341" t="s">
        <v>56</v>
      </c>
      <c r="E25" s="346"/>
      <c r="F25" s="346"/>
    </row>
    <row r="26" spans="1:7" x14ac:dyDescent="0.5">
      <c r="A26" s="347"/>
      <c r="B26" s="282"/>
      <c r="C26" s="332"/>
      <c r="D26" s="332"/>
      <c r="E26" s="346"/>
      <c r="F26" s="346"/>
    </row>
    <row r="27" spans="1:7" x14ac:dyDescent="0.5">
      <c r="A27" s="281"/>
      <c r="B27" s="282"/>
      <c r="C27" s="332"/>
      <c r="D27" s="332"/>
      <c r="E27" s="346"/>
      <c r="F27" s="346"/>
    </row>
    <row r="28" spans="1:7" x14ac:dyDescent="0.5">
      <c r="A28" s="343"/>
      <c r="B28" s="348"/>
      <c r="C28" s="348"/>
      <c r="D28" s="375"/>
      <c r="E28" s="346"/>
      <c r="F28" s="346"/>
    </row>
    <row r="29" spans="1:7" x14ac:dyDescent="0.5">
      <c r="A29" s="343"/>
      <c r="B29" s="348"/>
      <c r="C29" s="348"/>
      <c r="D29" s="375"/>
      <c r="E29" s="351"/>
      <c r="F29" s="346"/>
    </row>
    <row r="30" spans="1:7" ht="24" thickBot="1" x14ac:dyDescent="0.55000000000000004">
      <c r="A30" s="343"/>
      <c r="B30" s="348"/>
      <c r="C30" s="99"/>
      <c r="D30" s="372">
        <f>SUM(D26:D29)</f>
        <v>0</v>
      </c>
      <c r="E30" s="353"/>
      <c r="F30" s="346"/>
    </row>
    <row r="31" spans="1:7" ht="24" thickTop="1" x14ac:dyDescent="0.5">
      <c r="A31" s="354" t="str">
        <f>กรุงไทย!A28</f>
        <v>ยอดคงเหลือตามบัญชี ณ วันที่  31  มีนาคม 2563</v>
      </c>
      <c r="B31" s="355"/>
      <c r="C31" s="355"/>
      <c r="D31" s="356"/>
      <c r="E31" s="357">
        <f>งบทดลอง!D9</f>
        <v>197400.38</v>
      </c>
      <c r="F31" s="357">
        <f>E31</f>
        <v>197400.38</v>
      </c>
      <c r="G31" s="94">
        <f>F6-F31</f>
        <v>0</v>
      </c>
    </row>
    <row r="32" spans="1:7" x14ac:dyDescent="0.5">
      <c r="A32" s="102" t="s">
        <v>63</v>
      </c>
      <c r="B32" s="95"/>
      <c r="C32" s="95"/>
      <c r="D32" s="358" t="s">
        <v>64</v>
      </c>
      <c r="E32" s="89"/>
      <c r="F32" s="235"/>
    </row>
    <row r="33" spans="1:6" ht="10.5" customHeight="1" x14ac:dyDescent="0.5">
      <c r="A33" s="102"/>
      <c r="B33" s="95"/>
      <c r="C33" s="95"/>
      <c r="D33" s="359"/>
      <c r="E33" s="95"/>
      <c r="F33" s="360"/>
    </row>
    <row r="34" spans="1:6" x14ac:dyDescent="0.5">
      <c r="A34" s="473" t="s">
        <v>65</v>
      </c>
      <c r="B34" s="478"/>
      <c r="C34" s="474"/>
      <c r="D34" s="473" t="s">
        <v>65</v>
      </c>
      <c r="E34" s="478"/>
      <c r="F34" s="474"/>
    </row>
    <row r="35" spans="1:6" x14ac:dyDescent="0.5">
      <c r="A35" s="473" t="str">
        <f>'01552-2-55731-1'!A35:C35</f>
        <v>(นายสงกรานต์  อัครวิจิตร)</v>
      </c>
      <c r="B35" s="478"/>
      <c r="C35" s="474"/>
      <c r="D35" s="473" t="s">
        <v>66</v>
      </c>
      <c r="E35" s="478"/>
      <c r="F35" s="474"/>
    </row>
    <row r="36" spans="1:6" x14ac:dyDescent="0.5">
      <c r="A36" s="473" t="str">
        <f>'01552-2-55731-1'!A36:C36</f>
        <v>ผู้อำนวยการกองคลัง</v>
      </c>
      <c r="B36" s="478"/>
      <c r="C36" s="474"/>
      <c r="D36" s="473" t="s">
        <v>289</v>
      </c>
      <c r="E36" s="478"/>
      <c r="F36" s="474"/>
    </row>
    <row r="37" spans="1:6" ht="10.5" customHeight="1" x14ac:dyDescent="0.5">
      <c r="A37" s="361"/>
      <c r="B37" s="362"/>
      <c r="C37" s="362"/>
      <c r="D37" s="363"/>
      <c r="E37" s="362"/>
      <c r="F37" s="364"/>
    </row>
  </sheetData>
  <mergeCells count="8">
    <mergeCell ref="A36:C36"/>
    <mergeCell ref="D36:F36"/>
    <mergeCell ref="A3:F3"/>
    <mergeCell ref="E5:F5"/>
    <mergeCell ref="A34:C34"/>
    <mergeCell ref="D34:F34"/>
    <mergeCell ref="A35:C35"/>
    <mergeCell ref="D35:F35"/>
  </mergeCells>
  <printOptions horizontalCentered="1"/>
  <pageMargins left="0.74803149606299213" right="0.15748031496062992" top="0.7" bottom="0.35433070866141736" header="0.31496062992125984" footer="0.1574803149606299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8"/>
  <sheetViews>
    <sheetView zoomScaleNormal="100" workbookViewId="0">
      <selection activeCell="E24" sqref="E24"/>
    </sheetView>
  </sheetViews>
  <sheetFormatPr defaultRowHeight="21.95" customHeight="1" x14ac:dyDescent="0.5"/>
  <cols>
    <col min="1" max="1" width="15.7109375" style="12" customWidth="1"/>
    <col min="2" max="2" width="16" style="12" customWidth="1"/>
    <col min="3" max="3" width="19.42578125" style="12" customWidth="1"/>
    <col min="4" max="4" width="16" style="12" customWidth="1"/>
    <col min="5" max="6" width="16.5703125" style="12" customWidth="1"/>
    <col min="7" max="7" width="18.5703125" style="55" customWidth="1"/>
    <col min="8" max="9" width="9.140625" style="55"/>
    <col min="10" max="10" width="17.140625" style="55" customWidth="1"/>
    <col min="11" max="11" width="25.42578125" style="55" customWidth="1"/>
    <col min="12" max="16384" width="9.140625" style="55"/>
  </cols>
  <sheetData>
    <row r="1" spans="1:11" ht="21.95" customHeight="1" x14ac:dyDescent="0.5">
      <c r="E1" s="53" t="s">
        <v>105</v>
      </c>
      <c r="F1" s="54" t="str">
        <f>ใบผ่าน1!F1</f>
        <v>6/63</v>
      </c>
    </row>
    <row r="2" spans="1:11" ht="21.95" customHeight="1" x14ac:dyDescent="0.5">
      <c r="E2" s="53" t="s">
        <v>58</v>
      </c>
      <c r="F2" s="56">
        <f>ใบผ่าน1!F2</f>
        <v>242247</v>
      </c>
    </row>
    <row r="3" spans="1:11" ht="21.95" customHeight="1" x14ac:dyDescent="0.3">
      <c r="A3" s="472" t="s">
        <v>157</v>
      </c>
      <c r="B3" s="472"/>
      <c r="C3" s="472"/>
      <c r="D3" s="472"/>
      <c r="E3" s="472"/>
      <c r="F3" s="472"/>
    </row>
    <row r="4" spans="1:11" ht="21.95" customHeight="1" x14ac:dyDescent="0.3">
      <c r="A4" s="57" t="s">
        <v>107</v>
      </c>
      <c r="B4" s="57"/>
      <c r="C4" s="57"/>
      <c r="D4" s="58"/>
      <c r="E4" s="58"/>
      <c r="F4" s="58"/>
    </row>
    <row r="5" spans="1:11" s="61" customFormat="1" ht="21.95" customHeight="1" x14ac:dyDescent="0.3">
      <c r="A5" s="470" t="s">
        <v>6</v>
      </c>
      <c r="B5" s="471"/>
      <c r="C5" s="471"/>
      <c r="D5" s="59" t="s">
        <v>7</v>
      </c>
      <c r="E5" s="59" t="s">
        <v>95</v>
      </c>
      <c r="F5" s="59" t="s">
        <v>96</v>
      </c>
    </row>
    <row r="6" spans="1:11" ht="21.95" customHeight="1" x14ac:dyDescent="0.5">
      <c r="A6" s="104" t="s">
        <v>25</v>
      </c>
      <c r="B6" s="63"/>
      <c r="C6" s="63"/>
      <c r="D6" s="430"/>
      <c r="E6" s="451">
        <v>619218</v>
      </c>
      <c r="F6" s="432"/>
    </row>
    <row r="7" spans="1:11" ht="21.95" customHeight="1" x14ac:dyDescent="0.5">
      <c r="A7" s="66" t="s">
        <v>85</v>
      </c>
      <c r="B7" s="67"/>
      <c r="C7" s="67"/>
      <c r="D7" s="66"/>
      <c r="E7" s="452">
        <v>185460</v>
      </c>
      <c r="F7" s="433"/>
    </row>
    <row r="8" spans="1:11" ht="21.95" customHeight="1" x14ac:dyDescent="0.5">
      <c r="A8" s="66" t="s">
        <v>84</v>
      </c>
      <c r="B8" s="67"/>
      <c r="C8" s="67"/>
      <c r="D8" s="431"/>
      <c r="E8" s="452">
        <v>353250</v>
      </c>
      <c r="F8" s="434"/>
    </row>
    <row r="9" spans="1:11" ht="21.95" customHeight="1" x14ac:dyDescent="0.5">
      <c r="A9" s="66" t="s">
        <v>209</v>
      </c>
      <c r="B9" s="67"/>
      <c r="C9" s="67"/>
      <c r="D9" s="431"/>
      <c r="E9" s="452">
        <v>37580</v>
      </c>
      <c r="F9" s="434"/>
    </row>
    <row r="10" spans="1:11" ht="21.95" customHeight="1" x14ac:dyDescent="0.5">
      <c r="A10" s="66" t="s">
        <v>210</v>
      </c>
      <c r="B10" s="67"/>
      <c r="C10" s="67"/>
      <c r="D10" s="431"/>
      <c r="E10" s="452">
        <v>411180</v>
      </c>
      <c r="F10" s="434"/>
      <c r="G10" s="108">
        <f>SUM(E7:E10)</f>
        <v>987470</v>
      </c>
    </row>
    <row r="11" spans="1:11" ht="21.95" customHeight="1" x14ac:dyDescent="0.6">
      <c r="A11" s="66" t="s">
        <v>26</v>
      </c>
      <c r="B11" s="67"/>
      <c r="C11" s="67"/>
      <c r="D11" s="431"/>
      <c r="E11" s="453">
        <v>50200</v>
      </c>
      <c r="F11" s="434"/>
      <c r="G11" s="436"/>
      <c r="H11" s="438"/>
      <c r="J11" s="272">
        <f>22671.75+6000</f>
        <v>28671.75</v>
      </c>
      <c r="K11" s="444"/>
    </row>
    <row r="12" spans="1:11" ht="21.95" customHeight="1" x14ac:dyDescent="0.6">
      <c r="A12" s="66" t="s">
        <v>27</v>
      </c>
      <c r="B12" s="67"/>
      <c r="C12" s="67"/>
      <c r="D12" s="431"/>
      <c r="E12" s="454">
        <f>323675-6640</f>
        <v>317035</v>
      </c>
      <c r="F12" s="434"/>
      <c r="G12" s="437"/>
      <c r="H12" s="438"/>
      <c r="J12" s="408">
        <f>142500+27000+58450+1250+4500</f>
        <v>233700</v>
      </c>
      <c r="K12" s="444">
        <f>142500+5000+2000+2000+3000+5000+8000+2000+7800+3600+3600+16000+5600+1200+2500+2750+15400+1250+4500</f>
        <v>233700</v>
      </c>
    </row>
    <row r="13" spans="1:11" ht="21.95" customHeight="1" x14ac:dyDescent="0.6">
      <c r="A13" s="66" t="s">
        <v>28</v>
      </c>
      <c r="B13" s="73"/>
      <c r="C13" s="67"/>
      <c r="D13" s="431"/>
      <c r="E13" s="453">
        <f>228668.03+6640</f>
        <v>235308.03</v>
      </c>
      <c r="F13" s="434"/>
      <c r="G13" s="437"/>
      <c r="H13" s="438"/>
      <c r="J13" s="408">
        <f>3043+47719.4+139994.6+276</f>
        <v>191033</v>
      </c>
      <c r="K13" s="444"/>
    </row>
    <row r="14" spans="1:11" ht="21.95" customHeight="1" x14ac:dyDescent="0.6">
      <c r="A14" s="66" t="s">
        <v>29</v>
      </c>
      <c r="B14" s="73"/>
      <c r="C14" s="73"/>
      <c r="D14" s="66"/>
      <c r="E14" s="453">
        <v>92903.57</v>
      </c>
      <c r="F14" s="433"/>
      <c r="G14" s="437"/>
      <c r="H14" s="438"/>
      <c r="J14" s="408">
        <f>1221.08+98520.76+3188.6</f>
        <v>102930.44</v>
      </c>
      <c r="K14" s="444"/>
    </row>
    <row r="15" spans="1:11" ht="21.95" customHeight="1" x14ac:dyDescent="0.6">
      <c r="A15" s="66" t="s">
        <v>30</v>
      </c>
      <c r="B15" s="73"/>
      <c r="C15" s="73"/>
      <c r="D15" s="66"/>
      <c r="E15" s="453">
        <v>65300</v>
      </c>
      <c r="F15" s="433"/>
      <c r="J15" s="435">
        <v>789700</v>
      </c>
      <c r="K15" s="444"/>
    </row>
    <row r="16" spans="1:11" ht="21.95" customHeight="1" x14ac:dyDescent="0.5">
      <c r="A16" s="66" t="s">
        <v>31</v>
      </c>
      <c r="B16" s="73"/>
      <c r="C16" s="73"/>
      <c r="D16" s="66"/>
      <c r="E16" s="435">
        <v>300000</v>
      </c>
      <c r="F16" s="433"/>
    </row>
    <row r="17" spans="1:7" ht="21.95" customHeight="1" x14ac:dyDescent="0.5">
      <c r="A17" s="66" t="s">
        <v>79</v>
      </c>
      <c r="B17" s="73"/>
      <c r="C17" s="73"/>
      <c r="D17" s="66"/>
      <c r="E17" s="435"/>
      <c r="F17" s="433"/>
    </row>
    <row r="18" spans="1:7" ht="21.95" customHeight="1" x14ac:dyDescent="0.5">
      <c r="A18" s="66" t="s">
        <v>351</v>
      </c>
      <c r="B18" s="73"/>
      <c r="C18" s="73"/>
      <c r="D18" s="66"/>
      <c r="E18" s="435"/>
      <c r="F18" s="433"/>
      <c r="G18" s="109"/>
    </row>
    <row r="19" spans="1:7" ht="21.95" customHeight="1" x14ac:dyDescent="0.5">
      <c r="A19" s="66" t="s">
        <v>41</v>
      </c>
      <c r="B19" s="73"/>
      <c r="C19" s="73"/>
      <c r="D19" s="66"/>
      <c r="E19" s="435"/>
      <c r="F19" s="433"/>
    </row>
    <row r="20" spans="1:7" ht="21.95" customHeight="1" x14ac:dyDescent="0.5">
      <c r="A20" s="66" t="s">
        <v>73</v>
      </c>
      <c r="B20" s="73"/>
      <c r="C20" s="73"/>
      <c r="D20" s="66"/>
      <c r="E20" s="435"/>
      <c r="F20" s="433"/>
    </row>
    <row r="21" spans="1:7" ht="21.95" customHeight="1" x14ac:dyDescent="0.5">
      <c r="A21" s="66" t="s">
        <v>83</v>
      </c>
      <c r="B21" s="73"/>
      <c r="C21" s="73"/>
      <c r="D21" s="66"/>
      <c r="E21" s="435"/>
      <c r="F21" s="433"/>
    </row>
    <row r="22" spans="1:7" ht="21.95" customHeight="1" x14ac:dyDescent="0.5">
      <c r="A22" s="66" t="s">
        <v>113</v>
      </c>
      <c r="B22" s="73"/>
      <c r="C22" s="73"/>
      <c r="D22" s="76"/>
      <c r="E22" s="75"/>
      <c r="F22" s="34"/>
    </row>
    <row r="23" spans="1:7" ht="21.95" customHeight="1" x14ac:dyDescent="0.5">
      <c r="A23" s="66" t="s">
        <v>212</v>
      </c>
      <c r="B23" s="73"/>
      <c r="C23" s="73"/>
      <c r="D23" s="76"/>
      <c r="E23" s="75">
        <v>300000</v>
      </c>
      <c r="F23" s="34"/>
    </row>
    <row r="24" spans="1:7" ht="21.95" customHeight="1" x14ac:dyDescent="0.5">
      <c r="A24" s="66" t="s">
        <v>81</v>
      </c>
      <c r="B24" s="73"/>
      <c r="C24" s="73"/>
      <c r="D24" s="76"/>
      <c r="E24" s="75">
        <v>242108</v>
      </c>
      <c r="F24" s="34"/>
    </row>
    <row r="25" spans="1:7" ht="21.95" customHeight="1" x14ac:dyDescent="0.5">
      <c r="A25" s="66" t="s">
        <v>80</v>
      </c>
      <c r="B25" s="73"/>
      <c r="C25" s="73"/>
      <c r="D25" s="76"/>
      <c r="E25" s="75"/>
      <c r="F25" s="34"/>
    </row>
    <row r="26" spans="1:7" ht="21.95" customHeight="1" x14ac:dyDescent="0.5">
      <c r="A26" s="24" t="s">
        <v>45</v>
      </c>
      <c r="B26" s="73"/>
      <c r="C26" s="73"/>
      <c r="D26" s="76"/>
      <c r="E26" s="75">
        <v>8149.75</v>
      </c>
      <c r="F26" s="34"/>
    </row>
    <row r="27" spans="1:7" ht="21.95" customHeight="1" x14ac:dyDescent="0.5">
      <c r="A27" s="24" t="s">
        <v>46</v>
      </c>
      <c r="B27" s="73"/>
      <c r="C27" s="73"/>
      <c r="D27" s="76"/>
      <c r="E27" s="75"/>
      <c r="F27" s="34"/>
    </row>
    <row r="28" spans="1:7" ht="21.95" customHeight="1" x14ac:dyDescent="0.5">
      <c r="A28" s="24" t="s">
        <v>47</v>
      </c>
      <c r="B28" s="73"/>
      <c r="C28" s="73"/>
      <c r="D28" s="76"/>
      <c r="E28" s="75"/>
      <c r="F28" s="34"/>
    </row>
    <row r="29" spans="1:7" ht="21.95" customHeight="1" x14ac:dyDescent="0.5">
      <c r="A29" s="24" t="s">
        <v>48</v>
      </c>
      <c r="B29" s="73"/>
      <c r="C29" s="73"/>
      <c r="D29" s="76"/>
      <c r="E29" s="75"/>
      <c r="F29" s="34"/>
    </row>
    <row r="30" spans="1:7" ht="21.95" customHeight="1" x14ac:dyDescent="0.5">
      <c r="A30" s="24" t="s">
        <v>68</v>
      </c>
      <c r="B30" s="73"/>
      <c r="C30" s="73"/>
      <c r="D30" s="76"/>
      <c r="E30" s="75"/>
      <c r="F30" s="34"/>
    </row>
    <row r="31" spans="1:7" ht="21.95" customHeight="1" x14ac:dyDescent="0.5">
      <c r="A31" s="24" t="s">
        <v>69</v>
      </c>
      <c r="B31" s="73"/>
      <c r="C31" s="73"/>
      <c r="D31" s="76"/>
      <c r="E31" s="75"/>
      <c r="F31" s="34"/>
    </row>
    <row r="32" spans="1:7" ht="21.95" customHeight="1" x14ac:dyDescent="0.5">
      <c r="A32" s="24" t="s">
        <v>208</v>
      </c>
      <c r="B32" s="73"/>
      <c r="C32" s="73"/>
      <c r="D32" s="76"/>
      <c r="E32" s="75"/>
      <c r="F32" s="34"/>
    </row>
    <row r="33" spans="1:10" ht="21.95" customHeight="1" x14ac:dyDescent="0.5">
      <c r="A33" s="29" t="s">
        <v>129</v>
      </c>
      <c r="B33" s="73"/>
      <c r="C33" s="73"/>
      <c r="D33" s="76"/>
      <c r="E33" s="75"/>
      <c r="F33" s="34"/>
    </row>
    <row r="34" spans="1:10" ht="21.95" customHeight="1" x14ac:dyDescent="0.5">
      <c r="A34" s="480" t="s">
        <v>130</v>
      </c>
      <c r="B34" s="481"/>
      <c r="C34" s="78"/>
      <c r="D34" s="76"/>
      <c r="E34" s="75"/>
      <c r="F34" s="34"/>
    </row>
    <row r="35" spans="1:10" ht="21.95" customHeight="1" x14ac:dyDescent="0.5">
      <c r="A35" s="24" t="s">
        <v>215</v>
      </c>
      <c r="B35" s="73"/>
      <c r="C35" s="73"/>
      <c r="D35" s="76"/>
      <c r="E35" s="75">
        <v>19810</v>
      </c>
      <c r="F35" s="34"/>
      <c r="G35" s="108">
        <f>SUM(E24:E35)</f>
        <v>270067.75</v>
      </c>
    </row>
    <row r="36" spans="1:10" ht="21.95" customHeight="1" x14ac:dyDescent="0.5">
      <c r="A36" s="24" t="s">
        <v>334</v>
      </c>
      <c r="B36" s="73"/>
      <c r="C36" s="73"/>
      <c r="D36" s="76"/>
      <c r="E36" s="75"/>
      <c r="F36" s="34"/>
      <c r="G36" s="108">
        <f>SUM(E15:E36)</f>
        <v>935367.75</v>
      </c>
    </row>
    <row r="37" spans="1:10" ht="21.95" customHeight="1" x14ac:dyDescent="0.5">
      <c r="A37" s="31" t="s">
        <v>278</v>
      </c>
      <c r="B37" s="73"/>
      <c r="C37" s="73"/>
      <c r="D37" s="76"/>
      <c r="E37" s="75">
        <v>76500</v>
      </c>
      <c r="F37" s="34"/>
      <c r="G37" s="108"/>
    </row>
    <row r="38" spans="1:10" ht="21.95" customHeight="1" x14ac:dyDescent="0.5">
      <c r="A38" s="31" t="s">
        <v>279</v>
      </c>
      <c r="B38" s="73"/>
      <c r="C38" s="73"/>
      <c r="D38" s="76"/>
      <c r="E38" s="75">
        <v>71700</v>
      </c>
      <c r="F38" s="34"/>
      <c r="G38" s="108"/>
    </row>
    <row r="39" spans="1:10" ht="21.95" customHeight="1" x14ac:dyDescent="0.5">
      <c r="A39" s="24" t="s">
        <v>280</v>
      </c>
      <c r="B39" s="73"/>
      <c r="C39" s="73"/>
      <c r="D39" s="76"/>
      <c r="E39" s="75">
        <v>111604</v>
      </c>
      <c r="F39" s="34"/>
      <c r="G39" s="108"/>
    </row>
    <row r="40" spans="1:10" ht="21.95" customHeight="1" x14ac:dyDescent="0.5">
      <c r="A40" s="31" t="s">
        <v>178</v>
      </c>
      <c r="B40" s="73"/>
      <c r="C40" s="73"/>
      <c r="D40" s="76"/>
      <c r="E40" s="75"/>
      <c r="F40" s="34"/>
      <c r="G40" s="108"/>
    </row>
    <row r="41" spans="1:10" ht="21.95" customHeight="1" x14ac:dyDescent="0.5">
      <c r="A41" s="24" t="s">
        <v>332</v>
      </c>
      <c r="B41" s="73"/>
      <c r="C41" s="73"/>
      <c r="D41" s="76"/>
      <c r="E41" s="75"/>
      <c r="F41" s="34"/>
      <c r="G41" s="108"/>
    </row>
    <row r="42" spans="1:10" ht="21.95" customHeight="1" x14ac:dyDescent="0.5">
      <c r="A42" s="110" t="s">
        <v>336</v>
      </c>
      <c r="B42" s="73"/>
      <c r="C42" s="73"/>
      <c r="D42" s="76"/>
      <c r="E42" s="75"/>
      <c r="F42" s="34"/>
      <c r="G42" s="108"/>
    </row>
    <row r="43" spans="1:10" ht="21.95" customHeight="1" x14ac:dyDescent="0.5">
      <c r="A43" s="279" t="s">
        <v>356</v>
      </c>
      <c r="B43" s="73"/>
      <c r="C43" s="73"/>
      <c r="D43" s="76"/>
      <c r="E43" s="75">
        <v>5420</v>
      </c>
      <c r="F43" s="34"/>
      <c r="G43" s="108"/>
    </row>
    <row r="44" spans="1:10" ht="21.95" customHeight="1" x14ac:dyDescent="0.5">
      <c r="A44" s="24"/>
      <c r="B44" s="67" t="s">
        <v>179</v>
      </c>
      <c r="C44" s="73"/>
      <c r="D44" s="76"/>
      <c r="E44" s="75"/>
      <c r="F44" s="34">
        <f>36898.74+814472.03+437737.12+122279.52+900</f>
        <v>1412287.4100000001</v>
      </c>
      <c r="H44" s="12" t="s">
        <v>225</v>
      </c>
      <c r="I44" s="12"/>
      <c r="J44" s="12"/>
    </row>
    <row r="45" spans="1:10" ht="21.95" customHeight="1" x14ac:dyDescent="0.5">
      <c r="A45" s="24"/>
      <c r="B45" s="67" t="s">
        <v>151</v>
      </c>
      <c r="C45" s="73"/>
      <c r="D45" s="76"/>
      <c r="E45" s="75"/>
      <c r="F45" s="34"/>
      <c r="H45" s="12" t="s">
        <v>32</v>
      </c>
      <c r="I45" s="12"/>
      <c r="J45" s="12"/>
    </row>
    <row r="46" spans="1:10" ht="21.95" customHeight="1" x14ac:dyDescent="0.5">
      <c r="A46" s="24"/>
      <c r="B46" s="67" t="s">
        <v>233</v>
      </c>
      <c r="C46" s="73"/>
      <c r="D46" s="76"/>
      <c r="E46" s="75"/>
      <c r="F46" s="34"/>
      <c r="H46" s="12" t="s">
        <v>206</v>
      </c>
      <c r="I46" s="12"/>
      <c r="J46" s="12"/>
    </row>
    <row r="47" spans="1:10" ht="21.95" customHeight="1" x14ac:dyDescent="0.5">
      <c r="A47" s="24"/>
      <c r="B47" s="67" t="s">
        <v>152</v>
      </c>
      <c r="C47" s="73"/>
      <c r="D47" s="76"/>
      <c r="E47" s="75"/>
      <c r="F47" s="34">
        <f>158890+603511</f>
        <v>762401</v>
      </c>
      <c r="G47" s="12" t="s">
        <v>33</v>
      </c>
      <c r="H47" s="12" t="s">
        <v>226</v>
      </c>
      <c r="I47" s="12"/>
      <c r="J47" s="12"/>
    </row>
    <row r="48" spans="1:10" ht="21.95" customHeight="1" x14ac:dyDescent="0.5">
      <c r="A48" s="24"/>
      <c r="B48" s="67" t="s">
        <v>232</v>
      </c>
      <c r="C48" s="73"/>
      <c r="D48" s="76"/>
      <c r="E48" s="75"/>
      <c r="F48" s="34">
        <f>179569.22+287381.14</f>
        <v>466950.36</v>
      </c>
      <c r="G48" s="111">
        <f>SUM(F44:F48)</f>
        <v>2641638.77</v>
      </c>
      <c r="H48" s="12" t="s">
        <v>227</v>
      </c>
      <c r="I48" s="12"/>
      <c r="J48" s="12"/>
    </row>
    <row r="49" spans="1:7" ht="21.95" customHeight="1" x14ac:dyDescent="0.5">
      <c r="A49" s="24"/>
      <c r="B49" s="67" t="s">
        <v>45</v>
      </c>
      <c r="C49" s="73"/>
      <c r="D49" s="76"/>
      <c r="E49" s="75"/>
      <c r="F49" s="34">
        <v>8619.58</v>
      </c>
      <c r="G49" s="112">
        <f>F49</f>
        <v>8619.58</v>
      </c>
    </row>
    <row r="50" spans="1:7" ht="21.95" customHeight="1" thickBot="1" x14ac:dyDescent="0.55000000000000004">
      <c r="A50" s="31"/>
      <c r="B50" s="80" t="s">
        <v>213</v>
      </c>
      <c r="C50" s="80"/>
      <c r="D50" s="82"/>
      <c r="E50" s="113"/>
      <c r="F50" s="34">
        <v>15844</v>
      </c>
      <c r="G50" s="114">
        <f>G48+G49</f>
        <v>2650258.35</v>
      </c>
    </row>
    <row r="51" spans="1:7" ht="21.95" customHeight="1" thickTop="1" x14ac:dyDescent="0.5">
      <c r="A51" s="31"/>
      <c r="B51" s="80" t="s">
        <v>458</v>
      </c>
      <c r="C51" s="80"/>
      <c r="D51" s="82"/>
      <c r="E51" s="113"/>
      <c r="F51" s="34">
        <v>571400</v>
      </c>
      <c r="G51" s="447"/>
    </row>
    <row r="52" spans="1:7" ht="21.95" customHeight="1" x14ac:dyDescent="0.5">
      <c r="A52" s="31"/>
      <c r="B52" s="80" t="s">
        <v>275</v>
      </c>
      <c r="C52" s="80"/>
      <c r="D52" s="82"/>
      <c r="E52" s="113"/>
      <c r="F52" s="34">
        <v>76500</v>
      </c>
    </row>
    <row r="53" spans="1:7" ht="21.95" customHeight="1" x14ac:dyDescent="0.5">
      <c r="A53" s="31"/>
      <c r="B53" s="80" t="s">
        <v>276</v>
      </c>
      <c r="C53" s="80"/>
      <c r="D53" s="82"/>
      <c r="E53" s="113"/>
      <c r="F53" s="34">
        <v>71700</v>
      </c>
    </row>
    <row r="54" spans="1:7" ht="21.95" customHeight="1" x14ac:dyDescent="0.5">
      <c r="A54" s="31"/>
      <c r="B54" s="80" t="s">
        <v>277</v>
      </c>
      <c r="C54" s="80"/>
      <c r="D54" s="82"/>
      <c r="E54" s="34"/>
      <c r="F54" s="34">
        <v>111604</v>
      </c>
      <c r="G54" s="108"/>
    </row>
    <row r="55" spans="1:7" ht="21.95" customHeight="1" x14ac:dyDescent="0.5">
      <c r="A55" s="31"/>
      <c r="B55" s="80" t="s">
        <v>356</v>
      </c>
      <c r="C55" s="80"/>
      <c r="D55" s="82"/>
      <c r="E55" s="83"/>
      <c r="F55" s="34">
        <v>5420</v>
      </c>
      <c r="G55" s="108"/>
    </row>
    <row r="56" spans="1:7" ht="21.95" customHeight="1" x14ac:dyDescent="0.5">
      <c r="A56" s="31"/>
      <c r="B56" s="73" t="s">
        <v>338</v>
      </c>
      <c r="C56" s="80"/>
      <c r="D56" s="82"/>
      <c r="E56" s="83"/>
      <c r="F56" s="34"/>
    </row>
    <row r="57" spans="1:7" ht="21.95" customHeight="1" x14ac:dyDescent="0.5">
      <c r="A57" s="31"/>
      <c r="B57" s="80" t="s">
        <v>294</v>
      </c>
      <c r="C57" s="80"/>
      <c r="D57" s="82"/>
      <c r="E57" s="83"/>
      <c r="F57" s="34"/>
    </row>
    <row r="58" spans="1:7" ht="21.95" customHeight="1" x14ac:dyDescent="0.5">
      <c r="A58" s="27"/>
      <c r="B58" s="86" t="s">
        <v>100</v>
      </c>
      <c r="C58" s="86"/>
      <c r="D58" s="115"/>
      <c r="E58" s="116"/>
      <c r="F58" s="88"/>
    </row>
    <row r="59" spans="1:7" ht="21.95" customHeight="1" x14ac:dyDescent="0.5">
      <c r="A59" s="89"/>
      <c r="B59" s="89"/>
      <c r="C59" s="89"/>
      <c r="D59" s="90"/>
      <c r="E59" s="91">
        <f>SUM(E6:E58)</f>
        <v>3502726.3499999996</v>
      </c>
      <c r="F59" s="92">
        <f>SUM(F6:F58)</f>
        <v>3502726.35</v>
      </c>
      <c r="G59" s="93">
        <f>E59-F59</f>
        <v>0</v>
      </c>
    </row>
    <row r="60" spans="1:7" ht="21.95" customHeight="1" x14ac:dyDescent="0.5">
      <c r="A60" s="95"/>
      <c r="B60" s="95"/>
      <c r="C60" s="95"/>
      <c r="D60" s="96"/>
      <c r="E60" s="117"/>
      <c r="F60" s="117"/>
    </row>
    <row r="61" spans="1:7" ht="21.95" customHeight="1" x14ac:dyDescent="0.5">
      <c r="A61" s="98" t="s">
        <v>108</v>
      </c>
      <c r="B61" s="12" t="s">
        <v>153</v>
      </c>
      <c r="D61" s="51" t="str">
        <f>ใบผ่าน1!D36</f>
        <v>มีนาคม</v>
      </c>
      <c r="E61" s="12" t="s">
        <v>112</v>
      </c>
    </row>
    <row r="62" spans="1:7" ht="21.95" customHeight="1" x14ac:dyDescent="0.5">
      <c r="A62" s="99"/>
      <c r="B62" s="99"/>
      <c r="C62" s="99"/>
      <c r="D62" s="99"/>
      <c r="E62" s="99"/>
      <c r="F62" s="99"/>
    </row>
    <row r="63" spans="1:7" ht="21.95" customHeight="1" x14ac:dyDescent="0.5">
      <c r="A63" s="100" t="s">
        <v>63</v>
      </c>
      <c r="B63" s="101"/>
      <c r="C63" s="100" t="s">
        <v>109</v>
      </c>
      <c r="D63" s="101"/>
      <c r="E63" s="100" t="s">
        <v>110</v>
      </c>
      <c r="F63" s="101"/>
    </row>
    <row r="64" spans="1:7" ht="21.95" customHeight="1" x14ac:dyDescent="0.5">
      <c r="A64" s="102"/>
      <c r="B64" s="103"/>
      <c r="C64" s="102"/>
      <c r="D64" s="103"/>
      <c r="E64" s="102"/>
      <c r="F64" s="103"/>
    </row>
    <row r="65" spans="1:6" ht="21.95" customHeight="1" x14ac:dyDescent="0.5">
      <c r="A65" s="473" t="s">
        <v>149</v>
      </c>
      <c r="B65" s="474"/>
      <c r="C65" s="478" t="s">
        <v>149</v>
      </c>
      <c r="D65" s="474"/>
      <c r="E65" s="473" t="s">
        <v>149</v>
      </c>
      <c r="F65" s="474"/>
    </row>
    <row r="66" spans="1:6" ht="21.95" customHeight="1" x14ac:dyDescent="0.5">
      <c r="A66" s="473" t="str">
        <f>ใบผ่าน1!A41</f>
        <v>(นายสงกรานต์  อัครวิจิตร)</v>
      </c>
      <c r="B66" s="474"/>
      <c r="C66" s="478" t="str">
        <f>ใบผ่าน1!C41</f>
        <v>(นายศักดิ์ชัย  มารมย์)</v>
      </c>
      <c r="D66" s="474"/>
      <c r="E66" s="473" t="str">
        <f>A66</f>
        <v>(นายสงกรานต์  อัครวิจิตร)</v>
      </c>
      <c r="F66" s="474"/>
    </row>
    <row r="67" spans="1:6" ht="21.95" customHeight="1" x14ac:dyDescent="0.5">
      <c r="A67" s="473" t="str">
        <f>ใบผ่าน1!A42</f>
        <v>ผู้อำนวยการกองคลัง</v>
      </c>
      <c r="B67" s="474"/>
      <c r="C67" s="473" t="str">
        <f>ใบผ่าน1!C42</f>
        <v>นายกองค์การบริหารส่วนตำบลสมสนุก</v>
      </c>
      <c r="D67" s="474"/>
      <c r="E67" s="473" t="str">
        <f>ใบผ่าน1!E42</f>
        <v>ผู้อำนวยการกองคลัง</v>
      </c>
      <c r="F67" s="474"/>
    </row>
    <row r="68" spans="1:6" ht="21.95" customHeight="1" x14ac:dyDescent="0.5">
      <c r="A68" s="476"/>
      <c r="B68" s="477"/>
      <c r="C68" s="479"/>
      <c r="D68" s="477"/>
      <c r="E68" s="476"/>
      <c r="F68" s="477"/>
    </row>
  </sheetData>
  <mergeCells count="15">
    <mergeCell ref="A3:F3"/>
    <mergeCell ref="A5:C5"/>
    <mergeCell ref="A65:B65"/>
    <mergeCell ref="C65:D65"/>
    <mergeCell ref="E65:F65"/>
    <mergeCell ref="A34:B34"/>
    <mergeCell ref="A66:B66"/>
    <mergeCell ref="C66:D66"/>
    <mergeCell ref="E66:F66"/>
    <mergeCell ref="A68:B68"/>
    <mergeCell ref="C68:D68"/>
    <mergeCell ref="E68:F68"/>
    <mergeCell ref="E67:F67"/>
    <mergeCell ref="A67:B67"/>
    <mergeCell ref="C67:D67"/>
  </mergeCells>
  <pageMargins left="0.761811024" right="0.511811023622047" top="0.70866141732283505" bottom="0.59055118110236204" header="0.31496062992126" footer="0.31496062992126"/>
  <pageSetup paperSize="9" scale="90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6"/>
  <sheetViews>
    <sheetView tabSelected="1" topLeftCell="A28" workbookViewId="0">
      <selection activeCell="J33" sqref="J33"/>
    </sheetView>
  </sheetViews>
  <sheetFormatPr defaultColWidth="17" defaultRowHeight="23.25" x14ac:dyDescent="0.5"/>
  <cols>
    <col min="1" max="3" width="17" style="12"/>
    <col min="4" max="4" width="17" style="51"/>
    <col min="5" max="16384" width="17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65" t="s">
        <v>193</v>
      </c>
    </row>
    <row r="2" spans="1:6" ht="29.25" x14ac:dyDescent="0.6">
      <c r="A2" s="366"/>
      <c r="B2" s="367"/>
      <c r="C2" s="367"/>
      <c r="D2" s="367"/>
      <c r="E2" s="322" t="s">
        <v>52</v>
      </c>
      <c r="F2" s="323" t="s">
        <v>196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23.2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tr">
        <f>กรุงไทย!A6</f>
        <v>ยอดเงินคงเหลือตามรายงานธนาคาร ณ วันที่  31 มีนาคม 2563</v>
      </c>
      <c r="B6" s="191"/>
      <c r="C6" s="191"/>
      <c r="D6" s="332"/>
      <c r="E6" s="368">
        <f>งบกระทบยอด!E18</f>
        <v>2403282.15</v>
      </c>
      <c r="F6" s="334">
        <f>E6+D12-D20-D29</f>
        <v>2398504.6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338"/>
      <c r="B9" s="339"/>
      <c r="C9" s="339"/>
      <c r="D9" s="339"/>
      <c r="E9" s="335"/>
      <c r="F9" s="336"/>
    </row>
    <row r="10" spans="1:6" s="337" customFormat="1" x14ac:dyDescent="0.5">
      <c r="A10" s="338"/>
      <c r="B10" s="339"/>
      <c r="C10" s="339"/>
      <c r="D10" s="339"/>
      <c r="E10" s="335"/>
      <c r="F10" s="336"/>
    </row>
    <row r="11" spans="1:6" s="337" customFormat="1" x14ac:dyDescent="0.5">
      <c r="A11" s="338"/>
      <c r="B11" s="339"/>
      <c r="C11" s="339"/>
      <c r="D11" s="339"/>
      <c r="E11" s="335"/>
      <c r="F11" s="336"/>
    </row>
    <row r="12" spans="1:6" x14ac:dyDescent="0.5">
      <c r="A12" s="30"/>
      <c r="B12" s="99"/>
      <c r="C12" s="99"/>
      <c r="D12" s="202"/>
      <c r="E12" s="346"/>
      <c r="F12" s="346"/>
    </row>
    <row r="13" spans="1:6" x14ac:dyDescent="0.5">
      <c r="A13" s="30" t="s">
        <v>57</v>
      </c>
      <c r="B13" s="99"/>
      <c r="C13" s="99"/>
      <c r="D13" s="202"/>
      <c r="E13" s="336"/>
      <c r="F13" s="336"/>
    </row>
    <row r="14" spans="1:6" s="342" customFormat="1" x14ac:dyDescent="0.5">
      <c r="A14" s="338" t="s">
        <v>58</v>
      </c>
      <c r="B14" s="337" t="s">
        <v>59</v>
      </c>
      <c r="C14" s="339" t="s">
        <v>191</v>
      </c>
      <c r="D14" s="341" t="s">
        <v>56</v>
      </c>
      <c r="E14" s="336"/>
      <c r="F14" s="336"/>
    </row>
    <row r="15" spans="1:6" s="342" customFormat="1" x14ac:dyDescent="0.5">
      <c r="A15" s="343">
        <v>242244</v>
      </c>
      <c r="B15" s="282" t="s">
        <v>469</v>
      </c>
      <c r="C15" s="348"/>
      <c r="D15" s="349">
        <v>4777.55</v>
      </c>
      <c r="E15" s="376"/>
      <c r="F15" s="336"/>
    </row>
    <row r="16" spans="1:6" s="342" customFormat="1" x14ac:dyDescent="0.5">
      <c r="A16" s="347"/>
      <c r="B16" s="282"/>
      <c r="C16" s="337"/>
      <c r="D16" s="374"/>
      <c r="E16" s="336"/>
      <c r="F16" s="336"/>
    </row>
    <row r="17" spans="1:7" s="342" customFormat="1" x14ac:dyDescent="0.5">
      <c r="A17" s="347"/>
      <c r="B17" s="282"/>
      <c r="C17" s="337"/>
      <c r="D17" s="374"/>
      <c r="E17" s="336"/>
      <c r="F17" s="336"/>
    </row>
    <row r="18" spans="1:7" s="342" customFormat="1" x14ac:dyDescent="0.5">
      <c r="A18" s="347"/>
      <c r="B18" s="282"/>
      <c r="C18" s="337"/>
      <c r="D18" s="374"/>
      <c r="E18" s="336"/>
      <c r="F18" s="336"/>
    </row>
    <row r="19" spans="1:7" s="342" customFormat="1" x14ac:dyDescent="0.5">
      <c r="A19" s="347"/>
      <c r="B19" s="282"/>
      <c r="C19" s="337"/>
      <c r="D19" s="374"/>
      <c r="E19" s="336"/>
      <c r="F19" s="336"/>
    </row>
    <row r="20" spans="1:7" s="342" customFormat="1" ht="24" thickBot="1" x14ac:dyDescent="0.55000000000000004">
      <c r="A20" s="347"/>
      <c r="B20" s="282"/>
      <c r="C20" s="337"/>
      <c r="D20" s="377">
        <f>SUM(D15:D19)</f>
        <v>4777.55</v>
      </c>
      <c r="E20" s="336"/>
      <c r="F20" s="336"/>
    </row>
    <row r="21" spans="1:7" s="342" customFormat="1" ht="24" thickTop="1" x14ac:dyDescent="0.5">
      <c r="A21" s="30" t="s">
        <v>60</v>
      </c>
      <c r="B21" s="99"/>
      <c r="C21" s="99"/>
      <c r="D21" s="202"/>
      <c r="E21" s="346"/>
      <c r="F21" s="346"/>
    </row>
    <row r="22" spans="1:7" s="342" customFormat="1" x14ac:dyDescent="0.5">
      <c r="A22" s="18" t="s">
        <v>61</v>
      </c>
      <c r="B22" s="99"/>
      <c r="C22" s="99"/>
      <c r="D22" s="202"/>
      <c r="E22" s="346"/>
      <c r="F22" s="346"/>
    </row>
    <row r="23" spans="1:7" x14ac:dyDescent="0.5">
      <c r="A23" s="338" t="s">
        <v>58</v>
      </c>
      <c r="B23" s="337" t="s">
        <v>59</v>
      </c>
      <c r="C23" s="339" t="s">
        <v>191</v>
      </c>
      <c r="D23" s="341" t="s">
        <v>56</v>
      </c>
      <c r="E23" s="346"/>
      <c r="F23" s="346"/>
    </row>
    <row r="24" spans="1:7" x14ac:dyDescent="0.5">
      <c r="A24" s="343"/>
      <c r="B24" s="282"/>
      <c r="C24" s="282"/>
      <c r="D24" s="349"/>
      <c r="E24" s="346"/>
      <c r="F24" s="346"/>
    </row>
    <row r="25" spans="1:7" x14ac:dyDescent="0.5">
      <c r="A25" s="343"/>
      <c r="B25" s="282"/>
      <c r="C25" s="348"/>
      <c r="D25" s="349"/>
      <c r="E25" s="346"/>
      <c r="F25" s="346"/>
    </row>
    <row r="26" spans="1:7" x14ac:dyDescent="0.5">
      <c r="A26" s="343"/>
      <c r="B26" s="282"/>
      <c r="C26" s="348"/>
      <c r="D26" s="349"/>
      <c r="E26" s="346"/>
      <c r="F26" s="346"/>
    </row>
    <row r="27" spans="1:7" x14ac:dyDescent="0.5">
      <c r="A27" s="343"/>
      <c r="B27" s="282"/>
      <c r="C27" s="348"/>
      <c r="D27" s="349"/>
      <c r="E27" s="346"/>
      <c r="F27" s="346"/>
    </row>
    <row r="28" spans="1:7" x14ac:dyDescent="0.5">
      <c r="A28" s="343"/>
      <c r="B28" s="282"/>
      <c r="C28" s="348"/>
      <c r="D28" s="349"/>
      <c r="E28" s="346"/>
      <c r="F28" s="346"/>
    </row>
    <row r="29" spans="1:7" ht="24" thickBot="1" x14ac:dyDescent="0.55000000000000004">
      <c r="A29" s="343"/>
      <c r="B29" s="348"/>
      <c r="C29" s="99"/>
      <c r="D29" s="372">
        <f>SUM(D24:D28)</f>
        <v>0</v>
      </c>
      <c r="E29" s="353"/>
      <c r="F29" s="346"/>
    </row>
    <row r="30" spans="1:7" ht="24" thickTop="1" x14ac:dyDescent="0.5">
      <c r="A30" s="354" t="str">
        <f>กรุงไทย!A28</f>
        <v>ยอดคงเหลือตามบัญชี ณ วันที่  31  มีนาคม 2563</v>
      </c>
      <c r="B30" s="355"/>
      <c r="C30" s="355"/>
      <c r="D30" s="356"/>
      <c r="E30" s="357">
        <f>งบทดลอง!D8</f>
        <v>2398504.6</v>
      </c>
      <c r="F30" s="357">
        <f>E30</f>
        <v>2398504.6</v>
      </c>
      <c r="G30" s="94">
        <f>F6-F30</f>
        <v>0</v>
      </c>
    </row>
    <row r="31" spans="1:7" x14ac:dyDescent="0.5">
      <c r="A31" s="102" t="s">
        <v>63</v>
      </c>
      <c r="B31" s="95"/>
      <c r="C31" s="95"/>
      <c r="D31" s="358" t="s">
        <v>64</v>
      </c>
      <c r="E31" s="89"/>
      <c r="F31" s="235"/>
    </row>
    <row r="32" spans="1:7" ht="10.5" customHeight="1" x14ac:dyDescent="0.5">
      <c r="A32" s="102"/>
      <c r="B32" s="95"/>
      <c r="C32" s="95"/>
      <c r="D32" s="359"/>
      <c r="E32" s="95"/>
      <c r="F32" s="360"/>
    </row>
    <row r="33" spans="1:6" x14ac:dyDescent="0.5">
      <c r="A33" s="473" t="s">
        <v>65</v>
      </c>
      <c r="B33" s="478"/>
      <c r="C33" s="474"/>
      <c r="D33" s="473" t="s">
        <v>65</v>
      </c>
      <c r="E33" s="478"/>
      <c r="F33" s="474"/>
    </row>
    <row r="34" spans="1:6" x14ac:dyDescent="0.5">
      <c r="A34" s="473" t="str">
        <f>กรุงไทย!A32</f>
        <v>(นายสงกรานต์  อัครวิจิตร)</v>
      </c>
      <c r="B34" s="478"/>
      <c r="C34" s="474"/>
      <c r="D34" s="473" t="s">
        <v>66</v>
      </c>
      <c r="E34" s="478"/>
      <c r="F34" s="474"/>
    </row>
    <row r="35" spans="1:6" x14ac:dyDescent="0.5">
      <c r="A35" s="473" t="str">
        <f>กรุงไทย!A33</f>
        <v>ผู้อำนวยการกองคลัง</v>
      </c>
      <c r="B35" s="478"/>
      <c r="C35" s="474"/>
      <c r="D35" s="473" t="s">
        <v>289</v>
      </c>
      <c r="E35" s="478"/>
      <c r="F35" s="474"/>
    </row>
    <row r="36" spans="1:6" ht="10.5" customHeight="1" x14ac:dyDescent="0.5">
      <c r="A36" s="361"/>
      <c r="B36" s="362"/>
      <c r="C36" s="362"/>
      <c r="D36" s="363"/>
      <c r="E36" s="362"/>
      <c r="F36" s="364"/>
    </row>
  </sheetData>
  <mergeCells count="8">
    <mergeCell ref="A35:C35"/>
    <mergeCell ref="D35:F35"/>
    <mergeCell ref="A3:F3"/>
    <mergeCell ref="E5:F5"/>
    <mergeCell ref="A33:C33"/>
    <mergeCell ref="D33:F33"/>
    <mergeCell ref="A34:C34"/>
    <mergeCell ref="D34:F34"/>
  </mergeCells>
  <printOptions horizontalCentered="1"/>
  <pageMargins left="0.74803149606299213" right="0.15748031496062992" top="0.7" bottom="0.35433070866141736" header="0.31496062992125984" footer="0.1574803149606299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G35"/>
  <sheetViews>
    <sheetView topLeftCell="A25" workbookViewId="0">
      <selection activeCell="H16" sqref="H16"/>
    </sheetView>
  </sheetViews>
  <sheetFormatPr defaultColWidth="17" defaultRowHeight="23.25" x14ac:dyDescent="0.5"/>
  <cols>
    <col min="1" max="3" width="17" style="12"/>
    <col min="4" max="4" width="17" style="51"/>
    <col min="5" max="16384" width="17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65" t="s">
        <v>197</v>
      </c>
    </row>
    <row r="2" spans="1:6" ht="29.25" x14ac:dyDescent="0.6">
      <c r="A2" s="366"/>
      <c r="B2" s="367"/>
      <c r="C2" s="367"/>
      <c r="D2" s="367"/>
      <c r="E2" s="322" t="s">
        <v>52</v>
      </c>
      <c r="F2" s="323" t="s">
        <v>198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23.2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tr">
        <f>กรุงไทย!A6</f>
        <v>ยอดเงินคงเหลือตามรายงานธนาคาร ณ วันที่  31 มีนาคม 2563</v>
      </c>
      <c r="B6" s="191"/>
      <c r="C6" s="191"/>
      <c r="D6" s="332"/>
      <c r="E6" s="378">
        <f>งบกระทบยอด!E7</f>
        <v>635986.67000000004</v>
      </c>
      <c r="F6" s="334">
        <f>E6+D12-D20-D28</f>
        <v>636023.27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338"/>
      <c r="B9" s="97" t="s">
        <v>447</v>
      </c>
      <c r="C9" s="339"/>
      <c r="D9" s="332">
        <v>0.6</v>
      </c>
      <c r="E9" s="335"/>
      <c r="F9" s="336"/>
    </row>
    <row r="10" spans="1:6" s="337" customFormat="1" x14ac:dyDescent="0.5">
      <c r="A10" s="338"/>
      <c r="B10" s="97" t="s">
        <v>447</v>
      </c>
      <c r="C10" s="339"/>
      <c r="D10" s="97">
        <v>36</v>
      </c>
      <c r="E10" s="335"/>
      <c r="F10" s="336"/>
    </row>
    <row r="11" spans="1:6" s="337" customFormat="1" x14ac:dyDescent="0.5">
      <c r="A11" s="338"/>
      <c r="B11" s="339"/>
      <c r="C11" s="339"/>
      <c r="D11" s="97"/>
      <c r="E11" s="335"/>
      <c r="F11" s="336"/>
    </row>
    <row r="12" spans="1:6" ht="24" thickBot="1" x14ac:dyDescent="0.55000000000000004">
      <c r="A12" s="30"/>
      <c r="B12" s="99"/>
      <c r="C12" s="99"/>
      <c r="D12" s="379">
        <f>SUM(D9:D11)</f>
        <v>36.6</v>
      </c>
      <c r="E12" s="346"/>
      <c r="F12" s="346"/>
    </row>
    <row r="13" spans="1:6" ht="24" thickTop="1" x14ac:dyDescent="0.5">
      <c r="A13" s="30" t="s">
        <v>57</v>
      </c>
      <c r="B13" s="99"/>
      <c r="C13" s="99"/>
      <c r="D13" s="202"/>
      <c r="E13" s="336"/>
      <c r="F13" s="336"/>
    </row>
    <row r="14" spans="1:6" s="342" customFormat="1" x14ac:dyDescent="0.5">
      <c r="A14" s="338" t="s">
        <v>58</v>
      </c>
      <c r="B14" s="337" t="s">
        <v>59</v>
      </c>
      <c r="C14" s="339" t="s">
        <v>191</v>
      </c>
      <c r="D14" s="341" t="s">
        <v>56</v>
      </c>
      <c r="E14" s="336"/>
      <c r="F14" s="336"/>
    </row>
    <row r="15" spans="1:6" s="342" customFormat="1" x14ac:dyDescent="0.5">
      <c r="A15" s="347"/>
      <c r="B15" s="282"/>
      <c r="C15" s="282"/>
      <c r="D15" s="369"/>
      <c r="E15" s="336"/>
      <c r="F15" s="336"/>
    </row>
    <row r="16" spans="1:6" s="342" customFormat="1" x14ac:dyDescent="0.5">
      <c r="A16" s="347"/>
      <c r="B16" s="282"/>
      <c r="C16" s="282"/>
      <c r="D16" s="369"/>
      <c r="E16" s="336"/>
      <c r="F16" s="336"/>
    </row>
    <row r="17" spans="1:7" s="342" customFormat="1" x14ac:dyDescent="0.5">
      <c r="A17" s="347"/>
      <c r="B17" s="282"/>
      <c r="C17" s="282"/>
      <c r="D17" s="374"/>
      <c r="E17" s="336"/>
      <c r="F17" s="336"/>
    </row>
    <row r="18" spans="1:7" s="342" customFormat="1" x14ac:dyDescent="0.5">
      <c r="A18" s="347"/>
      <c r="B18" s="282"/>
      <c r="C18" s="282"/>
      <c r="D18" s="374"/>
      <c r="E18" s="336"/>
      <c r="F18" s="336"/>
    </row>
    <row r="19" spans="1:7" s="342" customFormat="1" x14ac:dyDescent="0.5">
      <c r="A19" s="347"/>
      <c r="B19" s="282"/>
      <c r="C19" s="337"/>
      <c r="D19" s="380"/>
      <c r="E19" s="336"/>
      <c r="F19" s="336"/>
    </row>
    <row r="20" spans="1:7" s="342" customFormat="1" ht="24" thickBot="1" x14ac:dyDescent="0.55000000000000004">
      <c r="A20" s="347"/>
      <c r="B20" s="282"/>
      <c r="C20" s="337"/>
      <c r="D20" s="381">
        <f>SUM(D15:D19)</f>
        <v>0</v>
      </c>
      <c r="E20" s="336"/>
      <c r="F20" s="336"/>
    </row>
    <row r="21" spans="1:7" s="342" customFormat="1" ht="24" thickTop="1" x14ac:dyDescent="0.5">
      <c r="A21" s="30" t="s">
        <v>60</v>
      </c>
      <c r="B21" s="99"/>
      <c r="C21" s="99"/>
      <c r="D21" s="202"/>
      <c r="E21" s="346"/>
      <c r="F21" s="346"/>
    </row>
    <row r="22" spans="1:7" s="342" customFormat="1" x14ac:dyDescent="0.5">
      <c r="A22" s="18" t="s">
        <v>61</v>
      </c>
      <c r="B22" s="99"/>
      <c r="C22" s="99"/>
      <c r="D22" s="202"/>
      <c r="E22" s="346"/>
      <c r="F22" s="346"/>
    </row>
    <row r="23" spans="1:7" x14ac:dyDescent="0.5">
      <c r="A23" s="338" t="s">
        <v>58</v>
      </c>
      <c r="B23" s="337" t="s">
        <v>59</v>
      </c>
      <c r="C23" s="339" t="s">
        <v>191</v>
      </c>
      <c r="D23" s="341" t="s">
        <v>56</v>
      </c>
      <c r="E23" s="346"/>
      <c r="F23" s="346"/>
    </row>
    <row r="24" spans="1:7" x14ac:dyDescent="0.5">
      <c r="A24" s="343"/>
      <c r="B24" s="282"/>
      <c r="C24" s="282"/>
      <c r="D24" s="349"/>
      <c r="E24" s="382"/>
      <c r="F24" s="346"/>
    </row>
    <row r="25" spans="1:7" x14ac:dyDescent="0.5">
      <c r="A25" s="343"/>
      <c r="B25" s="282"/>
      <c r="C25" s="282"/>
      <c r="D25" s="349"/>
      <c r="E25" s="382"/>
      <c r="F25" s="346"/>
    </row>
    <row r="26" spans="1:7" x14ac:dyDescent="0.5">
      <c r="A26" s="343"/>
      <c r="B26" s="282"/>
      <c r="C26" s="348"/>
      <c r="D26" s="349"/>
      <c r="E26" s="382"/>
      <c r="F26" s="346"/>
    </row>
    <row r="27" spans="1:7" x14ac:dyDescent="0.5">
      <c r="A27" s="343"/>
      <c r="B27" s="348"/>
      <c r="C27" s="348"/>
      <c r="D27" s="349"/>
      <c r="E27" s="351"/>
      <c r="F27" s="346"/>
    </row>
    <row r="28" spans="1:7" ht="24" thickBot="1" x14ac:dyDescent="0.55000000000000004">
      <c r="A28" s="343"/>
      <c r="B28" s="348"/>
      <c r="C28" s="99"/>
      <c r="D28" s="372">
        <f>SUM(D24:D27)</f>
        <v>0</v>
      </c>
      <c r="E28" s="353"/>
      <c r="F28" s="346"/>
    </row>
    <row r="29" spans="1:7" ht="24" thickTop="1" x14ac:dyDescent="0.5">
      <c r="A29" s="354" t="str">
        <f>กรุงไทย!A28</f>
        <v>ยอดคงเหลือตามบัญชี ณ วันที่  31  มีนาคม 2563</v>
      </c>
      <c r="B29" s="355"/>
      <c r="C29" s="355"/>
      <c r="D29" s="356"/>
      <c r="E29" s="357">
        <f>งบทดลอง!D10</f>
        <v>636023.27</v>
      </c>
      <c r="F29" s="357">
        <f>E29</f>
        <v>636023.27</v>
      </c>
      <c r="G29" s="94">
        <f>F6-F29</f>
        <v>0</v>
      </c>
    </row>
    <row r="30" spans="1:7" x14ac:dyDescent="0.5">
      <c r="A30" s="102" t="s">
        <v>63</v>
      </c>
      <c r="B30" s="95"/>
      <c r="C30" s="95"/>
      <c r="D30" s="358" t="s">
        <v>64</v>
      </c>
      <c r="E30" s="89"/>
      <c r="F30" s="235"/>
    </row>
    <row r="31" spans="1:7" ht="10.5" customHeight="1" x14ac:dyDescent="0.5">
      <c r="A31" s="102"/>
      <c r="B31" s="95"/>
      <c r="C31" s="95"/>
      <c r="D31" s="359"/>
      <c r="E31" s="95"/>
      <c r="F31" s="360"/>
    </row>
    <row r="32" spans="1:7" x14ac:dyDescent="0.5">
      <c r="A32" s="473" t="s">
        <v>65</v>
      </c>
      <c r="B32" s="478"/>
      <c r="C32" s="474"/>
      <c r="D32" s="473" t="s">
        <v>65</v>
      </c>
      <c r="E32" s="478"/>
      <c r="F32" s="474"/>
    </row>
    <row r="33" spans="1:6" x14ac:dyDescent="0.5">
      <c r="A33" s="473" t="str">
        <f>กรุงไทย!A32</f>
        <v>(นายสงกรานต์  อัครวิจิตร)</v>
      </c>
      <c r="B33" s="478"/>
      <c r="C33" s="474"/>
      <c r="D33" s="473" t="s">
        <v>66</v>
      </c>
      <c r="E33" s="478"/>
      <c r="F33" s="474"/>
    </row>
    <row r="34" spans="1:6" x14ac:dyDescent="0.5">
      <c r="A34" s="473" t="str">
        <f>กรุงไทย!A33</f>
        <v>ผู้อำนวยการกองคลัง</v>
      </c>
      <c r="B34" s="478"/>
      <c r="C34" s="474"/>
      <c r="D34" s="473" t="s">
        <v>289</v>
      </c>
      <c r="E34" s="478"/>
      <c r="F34" s="474"/>
    </row>
    <row r="35" spans="1:6" ht="10.5" customHeight="1" x14ac:dyDescent="0.5">
      <c r="A35" s="361"/>
      <c r="B35" s="362"/>
      <c r="C35" s="362"/>
      <c r="D35" s="363"/>
      <c r="E35" s="362"/>
      <c r="F35" s="364"/>
    </row>
  </sheetData>
  <mergeCells count="8">
    <mergeCell ref="A34:C34"/>
    <mergeCell ref="D34:F34"/>
    <mergeCell ref="A3:F3"/>
    <mergeCell ref="E5:F5"/>
    <mergeCell ref="A32:C32"/>
    <mergeCell ref="D32:F32"/>
    <mergeCell ref="A33:C33"/>
    <mergeCell ref="D33:F33"/>
  </mergeCells>
  <printOptions horizontalCentered="1"/>
  <pageMargins left="0.74803149606299213" right="0.15748031496062992" top="0.7" bottom="0.35433070866141736" header="0.31496062992125984" footer="0.15748031496062992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5"/>
  <sheetViews>
    <sheetView topLeftCell="A25" workbookViewId="0">
      <selection activeCell="J35" sqref="J35"/>
    </sheetView>
  </sheetViews>
  <sheetFormatPr defaultColWidth="16.85546875" defaultRowHeight="23.25" x14ac:dyDescent="0.5"/>
  <cols>
    <col min="1" max="3" width="16.85546875" style="12"/>
    <col min="4" max="4" width="16.85546875" style="51"/>
    <col min="5" max="16384" width="16.85546875" style="12"/>
  </cols>
  <sheetData>
    <row r="1" spans="1:6" x14ac:dyDescent="0.5">
      <c r="A1" s="318" t="s">
        <v>0</v>
      </c>
      <c r="B1" s="90"/>
      <c r="C1" s="90"/>
      <c r="D1" s="90"/>
      <c r="E1" s="319" t="s">
        <v>51</v>
      </c>
      <c r="F1" s="365" t="s">
        <v>197</v>
      </c>
    </row>
    <row r="2" spans="1:6" ht="29.25" x14ac:dyDescent="0.6">
      <c r="A2" s="366"/>
      <c r="B2" s="367"/>
      <c r="C2" s="367"/>
      <c r="D2" s="367"/>
      <c r="E2" s="322" t="s">
        <v>52</v>
      </c>
      <c r="F2" s="323" t="s">
        <v>321</v>
      </c>
    </row>
    <row r="3" spans="1:6" x14ac:dyDescent="0.5">
      <c r="A3" s="552" t="s">
        <v>50</v>
      </c>
      <c r="B3" s="505"/>
      <c r="C3" s="505"/>
      <c r="D3" s="505"/>
      <c r="E3" s="505"/>
      <c r="F3" s="553"/>
    </row>
    <row r="4" spans="1:6" s="328" customFormat="1" ht="23.25" customHeight="1" x14ac:dyDescent="0.2">
      <c r="A4" s="324"/>
      <c r="B4" s="325"/>
      <c r="C4" s="325"/>
      <c r="D4" s="326"/>
      <c r="E4" s="325"/>
      <c r="F4" s="327"/>
    </row>
    <row r="5" spans="1:6" s="99" customFormat="1" x14ac:dyDescent="0.5">
      <c r="A5" s="329"/>
      <c r="B5" s="330"/>
      <c r="C5" s="330"/>
      <c r="D5" s="331"/>
      <c r="E5" s="554" t="s">
        <v>62</v>
      </c>
      <c r="F5" s="555"/>
    </row>
    <row r="6" spans="1:6" s="99" customFormat="1" x14ac:dyDescent="0.5">
      <c r="A6" s="102" t="str">
        <f>กรุงไทย!A6</f>
        <v>ยอดเงินคงเหลือตามรายงานธนาคาร ณ วันที่  31 มีนาคม 2563</v>
      </c>
      <c r="B6" s="191"/>
      <c r="C6" s="191"/>
      <c r="D6" s="332"/>
      <c r="E6" s="378">
        <f>งบกระทบยอด!E9</f>
        <v>6251724.0800000001</v>
      </c>
      <c r="F6" s="334">
        <f>E6+D12-D20-D28</f>
        <v>6251724.0800000001</v>
      </c>
    </row>
    <row r="7" spans="1:6" s="337" customFormat="1" x14ac:dyDescent="0.5">
      <c r="A7" s="30" t="s">
        <v>53</v>
      </c>
      <c r="B7" s="191"/>
      <c r="C7" s="191"/>
      <c r="D7" s="332"/>
      <c r="E7" s="335"/>
      <c r="F7" s="336"/>
    </row>
    <row r="8" spans="1:6" s="337" customFormat="1" x14ac:dyDescent="0.5">
      <c r="A8" s="338" t="s">
        <v>54</v>
      </c>
      <c r="B8" s="339" t="s">
        <v>55</v>
      </c>
      <c r="C8" s="339" t="s">
        <v>191</v>
      </c>
      <c r="D8" s="339" t="s">
        <v>56</v>
      </c>
      <c r="E8" s="335"/>
      <c r="F8" s="336"/>
    </row>
    <row r="9" spans="1:6" s="337" customFormat="1" x14ac:dyDescent="0.5">
      <c r="A9" s="383"/>
      <c r="B9" s="383"/>
      <c r="C9" s="339"/>
      <c r="D9" s="332"/>
      <c r="E9" s="335"/>
      <c r="F9" s="336"/>
    </row>
    <row r="10" spans="1:6" s="337" customFormat="1" x14ac:dyDescent="0.5">
      <c r="A10" s="338"/>
      <c r="B10" s="339"/>
      <c r="C10" s="339"/>
      <c r="D10" s="339"/>
      <c r="E10" s="335"/>
      <c r="F10" s="336"/>
    </row>
    <row r="11" spans="1:6" s="337" customFormat="1" x14ac:dyDescent="0.5">
      <c r="A11" s="338"/>
      <c r="B11" s="339"/>
      <c r="C11" s="339"/>
      <c r="D11" s="339"/>
      <c r="E11" s="335"/>
      <c r="F11" s="336"/>
    </row>
    <row r="12" spans="1:6" ht="24" thickBot="1" x14ac:dyDescent="0.55000000000000004">
      <c r="A12" s="30"/>
      <c r="B12" s="99"/>
      <c r="C12" s="99"/>
      <c r="D12" s="379">
        <f>SUM(D9:D11)</f>
        <v>0</v>
      </c>
      <c r="E12" s="346"/>
      <c r="F12" s="346"/>
    </row>
    <row r="13" spans="1:6" ht="24" thickTop="1" x14ac:dyDescent="0.5">
      <c r="A13" s="30" t="s">
        <v>57</v>
      </c>
      <c r="B13" s="99"/>
      <c r="C13" s="99"/>
      <c r="D13" s="202"/>
      <c r="E13" s="336"/>
      <c r="F13" s="336"/>
    </row>
    <row r="14" spans="1:6" s="342" customFormat="1" x14ac:dyDescent="0.5">
      <c r="A14" s="338" t="s">
        <v>58</v>
      </c>
      <c r="B14" s="337" t="s">
        <v>59</v>
      </c>
      <c r="C14" s="339" t="s">
        <v>191</v>
      </c>
      <c r="D14" s="341" t="s">
        <v>56</v>
      </c>
      <c r="E14" s="336"/>
      <c r="F14" s="336"/>
    </row>
    <row r="15" spans="1:6" s="342" customFormat="1" x14ac:dyDescent="0.5">
      <c r="A15" s="347"/>
      <c r="B15" s="282"/>
      <c r="C15" s="282"/>
      <c r="D15" s="369"/>
      <c r="E15" s="336"/>
      <c r="F15" s="336"/>
    </row>
    <row r="16" spans="1:6" s="342" customFormat="1" x14ac:dyDescent="0.5">
      <c r="A16" s="347"/>
      <c r="B16" s="282"/>
      <c r="C16" s="282"/>
      <c r="D16" s="369"/>
      <c r="E16" s="336"/>
      <c r="F16" s="336"/>
    </row>
    <row r="17" spans="1:7" s="342" customFormat="1" x14ac:dyDescent="0.5">
      <c r="A17" s="347"/>
      <c r="B17" s="282"/>
      <c r="C17" s="337"/>
      <c r="D17" s="374"/>
      <c r="E17" s="336"/>
      <c r="F17" s="336"/>
    </row>
    <row r="18" spans="1:7" s="342" customFormat="1" x14ac:dyDescent="0.5">
      <c r="A18" s="347"/>
      <c r="B18" s="282"/>
      <c r="C18" s="337"/>
      <c r="D18" s="374"/>
      <c r="E18" s="336"/>
      <c r="F18" s="336"/>
    </row>
    <row r="19" spans="1:7" s="342" customFormat="1" x14ac:dyDescent="0.5">
      <c r="A19" s="347"/>
      <c r="B19" s="282"/>
      <c r="C19" s="337"/>
      <c r="D19" s="380"/>
      <c r="E19" s="336"/>
      <c r="F19" s="336"/>
    </row>
    <row r="20" spans="1:7" s="342" customFormat="1" ht="24" thickBot="1" x14ac:dyDescent="0.55000000000000004">
      <c r="A20" s="347"/>
      <c r="B20" s="282"/>
      <c r="C20" s="337"/>
      <c r="D20" s="381">
        <f>SUM(D15:D19)</f>
        <v>0</v>
      </c>
      <c r="E20" s="336"/>
      <c r="F20" s="336"/>
    </row>
    <row r="21" spans="1:7" s="342" customFormat="1" ht="24" thickTop="1" x14ac:dyDescent="0.5">
      <c r="A21" s="30" t="s">
        <v>60</v>
      </c>
      <c r="B21" s="99"/>
      <c r="C21" s="99"/>
      <c r="D21" s="202"/>
      <c r="E21" s="346"/>
      <c r="F21" s="346"/>
    </row>
    <row r="22" spans="1:7" s="342" customFormat="1" x14ac:dyDescent="0.5">
      <c r="A22" s="18" t="s">
        <v>61</v>
      </c>
      <c r="B22" s="99"/>
      <c r="C22" s="99"/>
      <c r="D22" s="202"/>
      <c r="E22" s="346"/>
      <c r="F22" s="346"/>
    </row>
    <row r="23" spans="1:7" x14ac:dyDescent="0.5">
      <c r="A23" s="338" t="s">
        <v>58</v>
      </c>
      <c r="B23" s="337" t="s">
        <v>59</v>
      </c>
      <c r="C23" s="339" t="s">
        <v>191</v>
      </c>
      <c r="D23" s="341" t="s">
        <v>56</v>
      </c>
      <c r="E23" s="346"/>
      <c r="F23" s="346"/>
    </row>
    <row r="24" spans="1:7" x14ac:dyDescent="0.5">
      <c r="A24" s="343"/>
      <c r="B24" s="282"/>
      <c r="C24" s="282"/>
      <c r="D24" s="349"/>
      <c r="E24" s="382"/>
      <c r="F24" s="346"/>
    </row>
    <row r="25" spans="1:7" x14ac:dyDescent="0.5">
      <c r="A25" s="343"/>
      <c r="B25" s="282"/>
      <c r="C25" s="282"/>
      <c r="D25" s="349"/>
      <c r="E25" s="382"/>
      <c r="F25" s="346"/>
    </row>
    <row r="26" spans="1:7" x14ac:dyDescent="0.5">
      <c r="A26" s="343"/>
      <c r="B26" s="282"/>
      <c r="C26" s="348"/>
      <c r="D26" s="349"/>
      <c r="E26" s="382"/>
      <c r="F26" s="346"/>
    </row>
    <row r="27" spans="1:7" x14ac:dyDescent="0.5">
      <c r="A27" s="343"/>
      <c r="B27" s="348"/>
      <c r="C27" s="348"/>
      <c r="D27" s="349"/>
      <c r="E27" s="351"/>
      <c r="F27" s="346"/>
    </row>
    <row r="28" spans="1:7" ht="24" thickBot="1" x14ac:dyDescent="0.55000000000000004">
      <c r="A28" s="343"/>
      <c r="B28" s="348"/>
      <c r="C28" s="99"/>
      <c r="D28" s="372">
        <f>SUM(D24:D27)</f>
        <v>0</v>
      </c>
      <c r="E28" s="353"/>
      <c r="F28" s="346"/>
    </row>
    <row r="29" spans="1:7" ht="24" thickTop="1" x14ac:dyDescent="0.5">
      <c r="A29" s="354" t="str">
        <f>กรุงไทย!A28</f>
        <v>ยอดคงเหลือตามบัญชี ณ วันที่  31  มีนาคม 2563</v>
      </c>
      <c r="B29" s="355"/>
      <c r="C29" s="355"/>
      <c r="D29" s="356"/>
      <c r="E29" s="357">
        <f>งบทดลอง!D11</f>
        <v>6251724.0800000001</v>
      </c>
      <c r="F29" s="357">
        <f>E29</f>
        <v>6251724.0800000001</v>
      </c>
      <c r="G29" s="94">
        <f>F6-F29</f>
        <v>0</v>
      </c>
    </row>
    <row r="30" spans="1:7" x14ac:dyDescent="0.5">
      <c r="A30" s="102" t="s">
        <v>63</v>
      </c>
      <c r="B30" s="95"/>
      <c r="C30" s="95"/>
      <c r="D30" s="358" t="s">
        <v>64</v>
      </c>
      <c r="E30" s="89"/>
      <c r="F30" s="235"/>
    </row>
    <row r="31" spans="1:7" ht="10.5" customHeight="1" x14ac:dyDescent="0.5">
      <c r="A31" s="102"/>
      <c r="B31" s="95"/>
      <c r="C31" s="95"/>
      <c r="D31" s="359"/>
      <c r="E31" s="95"/>
      <c r="F31" s="360"/>
    </row>
    <row r="32" spans="1:7" x14ac:dyDescent="0.5">
      <c r="A32" s="473" t="s">
        <v>65</v>
      </c>
      <c r="B32" s="478"/>
      <c r="C32" s="474"/>
      <c r="D32" s="473" t="s">
        <v>65</v>
      </c>
      <c r="E32" s="478"/>
      <c r="F32" s="474"/>
    </row>
    <row r="33" spans="1:6" x14ac:dyDescent="0.5">
      <c r="A33" s="473" t="str">
        <f>กรุงไทย!A32</f>
        <v>(นายสงกรานต์  อัครวิจิตร)</v>
      </c>
      <c r="B33" s="478"/>
      <c r="C33" s="474"/>
      <c r="D33" s="473" t="s">
        <v>66</v>
      </c>
      <c r="E33" s="478"/>
      <c r="F33" s="474"/>
    </row>
    <row r="34" spans="1:6" x14ac:dyDescent="0.5">
      <c r="A34" s="473" t="str">
        <f>กรุงไทย!A33</f>
        <v>ผู้อำนวยการกองคลัง</v>
      </c>
      <c r="B34" s="478"/>
      <c r="C34" s="474"/>
      <c r="D34" s="473" t="s">
        <v>289</v>
      </c>
      <c r="E34" s="478"/>
      <c r="F34" s="474"/>
    </row>
    <row r="35" spans="1:6" ht="10.5" customHeight="1" x14ac:dyDescent="0.5">
      <c r="A35" s="361"/>
      <c r="B35" s="362"/>
      <c r="C35" s="362"/>
      <c r="D35" s="363"/>
      <c r="E35" s="362"/>
      <c r="F35" s="364"/>
    </row>
  </sheetData>
  <mergeCells count="8">
    <mergeCell ref="A34:C34"/>
    <mergeCell ref="D34:F34"/>
    <mergeCell ref="A3:F3"/>
    <mergeCell ref="E5:F5"/>
    <mergeCell ref="A32:C32"/>
    <mergeCell ref="D32:F32"/>
    <mergeCell ref="A33:C33"/>
    <mergeCell ref="D33:F33"/>
  </mergeCells>
  <printOptions horizontalCentered="1"/>
  <pageMargins left="0.74803149606299213" right="0.15748031496062992" top="0.7" bottom="0.35433070866141736" header="0.31496062992125984" footer="0.1574803149606299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K32"/>
  <sheetViews>
    <sheetView view="pageLayout" topLeftCell="A4" zoomScaleNormal="100" workbookViewId="0">
      <selection activeCell="M2" sqref="M2"/>
    </sheetView>
  </sheetViews>
  <sheetFormatPr defaultColWidth="5.5703125" defaultRowHeight="21" x14ac:dyDescent="0.35"/>
  <cols>
    <col min="1" max="12" width="7.5703125" style="1" customWidth="1"/>
    <col min="13" max="13" width="7" style="1" customWidth="1"/>
    <col min="14" max="15" width="6.42578125" style="1" customWidth="1"/>
    <col min="16" max="16384" width="5.5703125" style="1"/>
  </cols>
  <sheetData>
    <row r="3" spans="1:11" x14ac:dyDescent="0.35">
      <c r="A3" s="1" t="s">
        <v>86</v>
      </c>
      <c r="G3" s="1" t="s">
        <v>90</v>
      </c>
    </row>
    <row r="4" spans="1:11" x14ac:dyDescent="0.35">
      <c r="G4" s="1" t="s">
        <v>92</v>
      </c>
    </row>
    <row r="5" spans="1:11" x14ac:dyDescent="0.35">
      <c r="G5" s="1" t="s">
        <v>93</v>
      </c>
    </row>
    <row r="6" spans="1:11" ht="9" customHeight="1" x14ac:dyDescent="0.35"/>
    <row r="7" spans="1:11" x14ac:dyDescent="0.35">
      <c r="F7" s="1" t="s">
        <v>58</v>
      </c>
      <c r="G7" s="1" t="s">
        <v>455</v>
      </c>
    </row>
    <row r="8" spans="1:11" ht="9" customHeight="1" x14ac:dyDescent="0.35"/>
    <row r="9" spans="1:11" x14ac:dyDescent="0.35">
      <c r="A9" s="1" t="s">
        <v>120</v>
      </c>
      <c r="B9" s="1" t="s">
        <v>454</v>
      </c>
    </row>
    <row r="10" spans="1:11" ht="9" customHeight="1" x14ac:dyDescent="0.35"/>
    <row r="11" spans="1:11" x14ac:dyDescent="0.35">
      <c r="A11" s="1" t="s">
        <v>121</v>
      </c>
      <c r="B11" s="1" t="s">
        <v>217</v>
      </c>
    </row>
    <row r="12" spans="1:11" ht="9" customHeight="1" x14ac:dyDescent="0.35"/>
    <row r="13" spans="1:11" x14ac:dyDescent="0.35">
      <c r="A13" s="1" t="s">
        <v>87</v>
      </c>
      <c r="C13" s="1" t="s">
        <v>115</v>
      </c>
      <c r="I13" s="7" t="s">
        <v>88</v>
      </c>
      <c r="J13" s="8">
        <v>1</v>
      </c>
      <c r="K13" s="1" t="s">
        <v>89</v>
      </c>
    </row>
    <row r="14" spans="1:11" x14ac:dyDescent="0.35">
      <c r="C14" s="1" t="s">
        <v>116</v>
      </c>
      <c r="I14" s="7" t="s">
        <v>88</v>
      </c>
      <c r="J14" s="8">
        <v>1</v>
      </c>
      <c r="K14" s="1" t="s">
        <v>89</v>
      </c>
    </row>
    <row r="15" spans="1:11" x14ac:dyDescent="0.35">
      <c r="C15" s="1" t="s">
        <v>117</v>
      </c>
      <c r="I15" s="7" t="s">
        <v>88</v>
      </c>
      <c r="J15" s="8">
        <v>1</v>
      </c>
      <c r="K15" s="1" t="s">
        <v>89</v>
      </c>
    </row>
    <row r="16" spans="1:11" x14ac:dyDescent="0.35">
      <c r="C16" s="1" t="s">
        <v>199</v>
      </c>
      <c r="I16" s="7" t="s">
        <v>88</v>
      </c>
      <c r="J16" s="8">
        <v>1</v>
      </c>
      <c r="K16" s="1" t="s">
        <v>89</v>
      </c>
    </row>
    <row r="17" spans="1:10" ht="9" customHeight="1" x14ac:dyDescent="0.35"/>
    <row r="18" spans="1:10" x14ac:dyDescent="0.35">
      <c r="A18" s="1" t="s">
        <v>123</v>
      </c>
      <c r="B18" s="1" t="s">
        <v>122</v>
      </c>
    </row>
    <row r="19" spans="1:10" x14ac:dyDescent="0.35">
      <c r="A19" s="1" t="s">
        <v>456</v>
      </c>
    </row>
    <row r="20" spans="1:10" ht="9" customHeight="1" x14ac:dyDescent="0.35"/>
    <row r="21" spans="1:10" x14ac:dyDescent="0.35">
      <c r="A21" s="1" t="s">
        <v>123</v>
      </c>
      <c r="B21" s="1" t="s">
        <v>124</v>
      </c>
    </row>
    <row r="22" spans="1:10" ht="9" customHeight="1" x14ac:dyDescent="0.35"/>
    <row r="23" spans="1:10" x14ac:dyDescent="0.35">
      <c r="E23" s="556" t="s">
        <v>91</v>
      </c>
      <c r="F23" s="556"/>
      <c r="G23" s="556"/>
      <c r="H23" s="556"/>
      <c r="I23" s="556"/>
    </row>
    <row r="26" spans="1:10" x14ac:dyDescent="0.35">
      <c r="D26" s="3"/>
      <c r="E26" s="556" t="s">
        <v>354</v>
      </c>
      <c r="F26" s="556"/>
      <c r="G26" s="556"/>
      <c r="H26" s="556"/>
      <c r="I26" s="556"/>
    </row>
    <row r="27" spans="1:10" x14ac:dyDescent="0.35">
      <c r="D27" s="3"/>
      <c r="E27" s="556" t="s">
        <v>150</v>
      </c>
      <c r="F27" s="556"/>
      <c r="G27" s="556"/>
      <c r="H27" s="556"/>
      <c r="I27" s="556"/>
      <c r="J27" s="3"/>
    </row>
    <row r="28" spans="1:10" x14ac:dyDescent="0.35">
      <c r="E28" s="556"/>
      <c r="F28" s="556"/>
      <c r="G28" s="556"/>
      <c r="H28" s="556"/>
      <c r="I28" s="556"/>
    </row>
    <row r="30" spans="1:10" x14ac:dyDescent="0.35">
      <c r="A30" s="1" t="s">
        <v>290</v>
      </c>
    </row>
    <row r="31" spans="1:10" x14ac:dyDescent="0.35">
      <c r="A31" s="1" t="s">
        <v>114</v>
      </c>
    </row>
    <row r="32" spans="1:10" x14ac:dyDescent="0.35">
      <c r="A32" s="1" t="s">
        <v>319</v>
      </c>
    </row>
  </sheetData>
  <mergeCells count="4">
    <mergeCell ref="E26:I26"/>
    <mergeCell ref="E23:I23"/>
    <mergeCell ref="E28:I28"/>
    <mergeCell ref="E27:I27"/>
  </mergeCells>
  <printOptions horizontalCentered="1"/>
  <pageMargins left="0.98425196850393704" right="0.78740157480314965" top="0.78740157480314965" bottom="0.59055118110236227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19050</xdr:colOff>
                <xdr:row>0</xdr:row>
                <xdr:rowOff>0</xdr:rowOff>
              </from>
              <to>
                <xdr:col>6</xdr:col>
                <xdr:colOff>95250</xdr:colOff>
                <xdr:row>3</xdr:row>
                <xdr:rowOff>133350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K32"/>
  <sheetViews>
    <sheetView view="pageLayout" topLeftCell="A7" zoomScaleNormal="100" workbookViewId="0">
      <selection activeCell="J30" sqref="J30"/>
    </sheetView>
  </sheetViews>
  <sheetFormatPr defaultColWidth="5.5703125" defaultRowHeight="21" x14ac:dyDescent="0.35"/>
  <cols>
    <col min="1" max="12" width="7.5703125" style="1" customWidth="1"/>
    <col min="13" max="13" width="7" style="1" customWidth="1"/>
    <col min="14" max="15" width="6.42578125" style="1" customWidth="1"/>
    <col min="16" max="16384" width="5.5703125" style="1"/>
  </cols>
  <sheetData>
    <row r="3" spans="1:11" x14ac:dyDescent="0.35">
      <c r="A3" s="1" t="s">
        <v>86</v>
      </c>
      <c r="G3" s="1" t="s">
        <v>90</v>
      </c>
    </row>
    <row r="4" spans="1:11" x14ac:dyDescent="0.35">
      <c r="G4" s="1" t="s">
        <v>92</v>
      </c>
    </row>
    <row r="5" spans="1:11" x14ac:dyDescent="0.35">
      <c r="G5" s="1" t="s">
        <v>93</v>
      </c>
    </row>
    <row r="6" spans="1:11" ht="9" customHeight="1" x14ac:dyDescent="0.35"/>
    <row r="7" spans="1:11" x14ac:dyDescent="0.35">
      <c r="F7" s="1" t="str">
        <f>หนังสือส่ง!F7</f>
        <v>วันที่</v>
      </c>
      <c r="G7" s="1" t="str">
        <f>หนังสือส่ง!G7</f>
        <v xml:space="preserve">  มีนาคม  ๒๕๖๓</v>
      </c>
    </row>
    <row r="8" spans="1:11" ht="9" customHeight="1" x14ac:dyDescent="0.35"/>
    <row r="9" spans="1:11" x14ac:dyDescent="0.35">
      <c r="A9" s="1" t="s">
        <v>120</v>
      </c>
      <c r="B9" s="1" t="str">
        <f>หนังสือส่ง!B9</f>
        <v>ส่งรายงานการเงินประจำเดือน  กุมภาพันธ์  ๒๕๖๓</v>
      </c>
    </row>
    <row r="10" spans="1:11" ht="9" customHeight="1" x14ac:dyDescent="0.35"/>
    <row r="11" spans="1:11" x14ac:dyDescent="0.35">
      <c r="A11" s="1" t="s">
        <v>121</v>
      </c>
      <c r="B11" s="1" t="s">
        <v>205</v>
      </c>
    </row>
    <row r="12" spans="1:11" ht="9" customHeight="1" x14ac:dyDescent="0.35"/>
    <row r="13" spans="1:11" x14ac:dyDescent="0.35">
      <c r="A13" s="1" t="s">
        <v>87</v>
      </c>
      <c r="C13" s="1" t="s">
        <v>115</v>
      </c>
      <c r="I13" s="7" t="s">
        <v>88</v>
      </c>
      <c r="J13" s="8">
        <v>1</v>
      </c>
      <c r="K13" s="1" t="s">
        <v>89</v>
      </c>
    </row>
    <row r="14" spans="1:11" x14ac:dyDescent="0.35">
      <c r="C14" s="1" t="s">
        <v>116</v>
      </c>
      <c r="I14" s="7" t="s">
        <v>88</v>
      </c>
      <c r="J14" s="8">
        <v>1</v>
      </c>
      <c r="K14" s="1" t="s">
        <v>89</v>
      </c>
    </row>
    <row r="15" spans="1:11" x14ac:dyDescent="0.35">
      <c r="C15" s="1" t="s">
        <v>117</v>
      </c>
      <c r="I15" s="7" t="s">
        <v>88</v>
      </c>
      <c r="J15" s="8">
        <v>1</v>
      </c>
      <c r="K15" s="1" t="s">
        <v>89</v>
      </c>
    </row>
    <row r="16" spans="1:11" x14ac:dyDescent="0.35">
      <c r="C16" s="1" t="s">
        <v>199</v>
      </c>
      <c r="I16" s="7" t="s">
        <v>88</v>
      </c>
      <c r="J16" s="8">
        <v>1</v>
      </c>
      <c r="K16" s="1" t="s">
        <v>89</v>
      </c>
    </row>
    <row r="17" spans="1:10" ht="9" customHeight="1" x14ac:dyDescent="0.35"/>
    <row r="18" spans="1:10" x14ac:dyDescent="0.35">
      <c r="A18" s="1" t="s">
        <v>123</v>
      </c>
      <c r="B18" s="1" t="s">
        <v>122</v>
      </c>
    </row>
    <row r="19" spans="1:10" x14ac:dyDescent="0.35">
      <c r="A19" s="1" t="str">
        <f>หนังสือส่ง!A19</f>
        <v>ประจำเดือน กุมภาพันธ์  ๒๕๖๓ (รายละเอียดปรากฎตามสิ่งที่ส่งมาด้วย)</v>
      </c>
    </row>
    <row r="20" spans="1:10" ht="9" customHeight="1" x14ac:dyDescent="0.35"/>
    <row r="21" spans="1:10" x14ac:dyDescent="0.35">
      <c r="A21" s="1" t="s">
        <v>123</v>
      </c>
      <c r="B21" s="1" t="s">
        <v>124</v>
      </c>
    </row>
    <row r="22" spans="1:10" ht="9" customHeight="1" x14ac:dyDescent="0.35"/>
    <row r="23" spans="1:10" x14ac:dyDescent="0.35">
      <c r="E23" s="556" t="s">
        <v>91</v>
      </c>
      <c r="F23" s="556"/>
      <c r="G23" s="556"/>
      <c r="H23" s="556"/>
      <c r="I23" s="556"/>
    </row>
    <row r="26" spans="1:10" x14ac:dyDescent="0.35">
      <c r="D26" s="3"/>
      <c r="E26" s="556" t="str">
        <f>หนังสือส่ง!E26</f>
        <v>(นายศักดิ์ชัย  มารมย์)</v>
      </c>
      <c r="F26" s="556"/>
      <c r="G26" s="556"/>
      <c r="H26" s="556"/>
      <c r="I26" s="556"/>
    </row>
    <row r="27" spans="1:10" x14ac:dyDescent="0.35">
      <c r="D27" s="3"/>
      <c r="E27" s="556" t="str">
        <f>หนังสือส่ง!E27:I29</f>
        <v>นายกองค์การบริหารส่วนตำบลสมสนุก</v>
      </c>
      <c r="F27" s="556"/>
      <c r="G27" s="556"/>
      <c r="H27" s="556"/>
      <c r="I27" s="556"/>
      <c r="J27" s="3"/>
    </row>
    <row r="28" spans="1:10" x14ac:dyDescent="0.35">
      <c r="E28" s="556"/>
      <c r="F28" s="556"/>
      <c r="G28" s="556"/>
      <c r="H28" s="556"/>
      <c r="I28" s="556"/>
    </row>
    <row r="30" spans="1:10" x14ac:dyDescent="0.35">
      <c r="A30" s="1" t="s">
        <v>290</v>
      </c>
    </row>
    <row r="31" spans="1:10" x14ac:dyDescent="0.35">
      <c r="A31" s="1" t="s">
        <v>114</v>
      </c>
    </row>
    <row r="32" spans="1:10" x14ac:dyDescent="0.35">
      <c r="A32" s="1" t="s">
        <v>319</v>
      </c>
    </row>
  </sheetData>
  <mergeCells count="4">
    <mergeCell ref="E23:I23"/>
    <mergeCell ref="E26:I26"/>
    <mergeCell ref="E28:I28"/>
    <mergeCell ref="E27:I27"/>
  </mergeCells>
  <printOptions horizontalCentered="1"/>
  <pageMargins left="0.98425196850393704" right="0.78740157480314965" top="0.78740157480314965" bottom="0.59055118110236227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Picture.8" shapeId="5836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38100</xdr:rowOff>
              </from>
              <to>
                <xdr:col>6</xdr:col>
                <xdr:colOff>76200</xdr:colOff>
                <xdr:row>3</xdr:row>
                <xdr:rowOff>161925</xdr:rowOff>
              </to>
            </anchor>
          </objectPr>
        </oleObject>
      </mc:Choice>
      <mc:Fallback>
        <oleObject progId="Word.Picture.8" shapeId="58369" r:id="rId4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K32"/>
  <sheetViews>
    <sheetView view="pageLayout" zoomScaleNormal="100" workbookViewId="0">
      <selection activeCell="L10" sqref="L10"/>
    </sheetView>
  </sheetViews>
  <sheetFormatPr defaultColWidth="5.5703125" defaultRowHeight="21" x14ac:dyDescent="0.35"/>
  <cols>
    <col min="1" max="12" width="7.5703125" style="1" customWidth="1"/>
    <col min="13" max="13" width="7" style="1" customWidth="1"/>
    <col min="14" max="15" width="6.42578125" style="1" customWidth="1"/>
    <col min="16" max="16384" width="5.5703125" style="1"/>
  </cols>
  <sheetData>
    <row r="3" spans="1:11" x14ac:dyDescent="0.35">
      <c r="A3" s="1" t="s">
        <v>86</v>
      </c>
      <c r="G3" s="1" t="s">
        <v>90</v>
      </c>
    </row>
    <row r="4" spans="1:11" x14ac:dyDescent="0.35">
      <c r="G4" s="1" t="s">
        <v>92</v>
      </c>
    </row>
    <row r="5" spans="1:11" x14ac:dyDescent="0.35">
      <c r="G5" s="1" t="s">
        <v>93</v>
      </c>
    </row>
    <row r="6" spans="1:11" ht="9" customHeight="1" x14ac:dyDescent="0.35"/>
    <row r="7" spans="1:11" x14ac:dyDescent="0.35">
      <c r="F7" s="1" t="str">
        <f>หนังสือส่ง!F7</f>
        <v>วันที่</v>
      </c>
      <c r="G7" s="1" t="str">
        <f>หนังสือส่ง!G7</f>
        <v xml:space="preserve">  มีนาคม  ๒๕๖๓</v>
      </c>
    </row>
    <row r="8" spans="1:11" ht="9" customHeight="1" x14ac:dyDescent="0.35"/>
    <row r="9" spans="1:11" x14ac:dyDescent="0.35">
      <c r="A9" s="1" t="s">
        <v>120</v>
      </c>
      <c r="B9" s="1" t="str">
        <f>หนังสือส่ง!B9</f>
        <v>ส่งรายงานการเงินประจำเดือน  กุมภาพันธ์  ๒๕๖๓</v>
      </c>
    </row>
    <row r="10" spans="1:11" ht="9" customHeight="1" x14ac:dyDescent="0.35"/>
    <row r="11" spans="1:11" x14ac:dyDescent="0.35">
      <c r="A11" s="1" t="s">
        <v>121</v>
      </c>
      <c r="B11" s="1" t="s">
        <v>353</v>
      </c>
    </row>
    <row r="12" spans="1:11" ht="9" customHeight="1" x14ac:dyDescent="0.35"/>
    <row r="13" spans="1:11" x14ac:dyDescent="0.35">
      <c r="A13" s="1" t="s">
        <v>87</v>
      </c>
      <c r="C13" s="1" t="s">
        <v>115</v>
      </c>
      <c r="I13" s="7" t="s">
        <v>88</v>
      </c>
      <c r="J13" s="8">
        <v>1</v>
      </c>
      <c r="K13" s="1" t="s">
        <v>89</v>
      </c>
    </row>
    <row r="14" spans="1:11" x14ac:dyDescent="0.35">
      <c r="C14" s="1" t="s">
        <v>116</v>
      </c>
      <c r="I14" s="7" t="s">
        <v>88</v>
      </c>
      <c r="J14" s="8">
        <v>1</v>
      </c>
      <c r="K14" s="1" t="s">
        <v>89</v>
      </c>
    </row>
    <row r="15" spans="1:11" x14ac:dyDescent="0.35">
      <c r="C15" s="1" t="s">
        <v>117</v>
      </c>
      <c r="I15" s="7" t="s">
        <v>88</v>
      </c>
      <c r="J15" s="8">
        <v>1</v>
      </c>
      <c r="K15" s="1" t="s">
        <v>89</v>
      </c>
    </row>
    <row r="16" spans="1:11" x14ac:dyDescent="0.35">
      <c r="C16" s="1" t="s">
        <v>199</v>
      </c>
      <c r="I16" s="7" t="s">
        <v>88</v>
      </c>
      <c r="J16" s="8">
        <v>1</v>
      </c>
      <c r="K16" s="1" t="s">
        <v>89</v>
      </c>
    </row>
    <row r="17" spans="1:10" ht="9" customHeight="1" x14ac:dyDescent="0.35"/>
    <row r="18" spans="1:10" x14ac:dyDescent="0.35">
      <c r="A18" s="1" t="s">
        <v>123</v>
      </c>
      <c r="B18" s="1" t="s">
        <v>122</v>
      </c>
    </row>
    <row r="19" spans="1:10" x14ac:dyDescent="0.35">
      <c r="A19" s="1" t="str">
        <f>หนังสือส่ง!A19</f>
        <v>ประจำเดือน กุมภาพันธ์  ๒๕๖๓ (รายละเอียดปรากฎตามสิ่งที่ส่งมาด้วย)</v>
      </c>
    </row>
    <row r="20" spans="1:10" ht="9" customHeight="1" x14ac:dyDescent="0.35"/>
    <row r="21" spans="1:10" x14ac:dyDescent="0.35">
      <c r="A21" s="1" t="s">
        <v>123</v>
      </c>
      <c r="B21" s="1" t="s">
        <v>124</v>
      </c>
    </row>
    <row r="22" spans="1:10" ht="9" customHeight="1" x14ac:dyDescent="0.35"/>
    <row r="23" spans="1:10" x14ac:dyDescent="0.35">
      <c r="E23" s="556" t="s">
        <v>91</v>
      </c>
      <c r="F23" s="556"/>
      <c r="G23" s="556"/>
      <c r="H23" s="556"/>
      <c r="I23" s="556"/>
    </row>
    <row r="26" spans="1:10" x14ac:dyDescent="0.35">
      <c r="D26" s="3"/>
      <c r="E26" s="556" t="str">
        <f>หนังสือส่ง!E26</f>
        <v>(นายศักดิ์ชัย  มารมย์)</v>
      </c>
      <c r="F26" s="556"/>
      <c r="G26" s="556"/>
      <c r="H26" s="556"/>
      <c r="I26" s="556"/>
    </row>
    <row r="27" spans="1:10" x14ac:dyDescent="0.35">
      <c r="D27" s="3"/>
      <c r="E27" s="556" t="str">
        <f>หนังสือส่ง!E27:I29</f>
        <v>นายกองค์การบริหารส่วนตำบลสมสนุก</v>
      </c>
      <c r="F27" s="556"/>
      <c r="G27" s="556"/>
      <c r="H27" s="556"/>
      <c r="I27" s="556"/>
      <c r="J27" s="3"/>
    </row>
    <row r="28" spans="1:10" x14ac:dyDescent="0.35">
      <c r="E28" s="556"/>
      <c r="F28" s="556"/>
      <c r="G28" s="556"/>
      <c r="H28" s="556"/>
      <c r="I28" s="556"/>
    </row>
    <row r="30" spans="1:10" x14ac:dyDescent="0.35">
      <c r="A30" s="1" t="s">
        <v>290</v>
      </c>
    </row>
    <row r="31" spans="1:10" x14ac:dyDescent="0.35">
      <c r="A31" s="1" t="s">
        <v>114</v>
      </c>
    </row>
    <row r="32" spans="1:10" x14ac:dyDescent="0.35">
      <c r="A32" s="1" t="s">
        <v>319</v>
      </c>
    </row>
  </sheetData>
  <mergeCells count="4">
    <mergeCell ref="E23:I23"/>
    <mergeCell ref="E26:I26"/>
    <mergeCell ref="E28:I28"/>
    <mergeCell ref="E27:I27"/>
  </mergeCells>
  <printOptions horizontalCentered="1"/>
  <pageMargins left="0.98425196850393704" right="0.78740157480314965" top="0.78740157480314965" bottom="0.59055118110236227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Word.Picture.8" shapeId="7884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38100</xdr:rowOff>
              </from>
              <to>
                <xdr:col>6</xdr:col>
                <xdr:colOff>76200</xdr:colOff>
                <xdr:row>3</xdr:row>
                <xdr:rowOff>161925</xdr:rowOff>
              </to>
            </anchor>
          </objectPr>
        </oleObject>
      </mc:Choice>
      <mc:Fallback>
        <oleObject progId="Word.Picture.8" shapeId="78849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8"/>
  <sheetViews>
    <sheetView topLeftCell="A28" zoomScaleNormal="100" workbookViewId="0">
      <selection activeCell="E40" sqref="E40"/>
    </sheetView>
  </sheetViews>
  <sheetFormatPr defaultRowHeight="21.95" customHeight="1" x14ac:dyDescent="0.5"/>
  <cols>
    <col min="1" max="1" width="7.42578125" style="12" customWidth="1"/>
    <col min="2" max="2" width="39.7109375" style="12" customWidth="1"/>
    <col min="3" max="3" width="15" style="12" customWidth="1"/>
    <col min="4" max="4" width="18.5703125" style="52" customWidth="1"/>
    <col min="5" max="5" width="18.28515625" style="52" customWidth="1"/>
    <col min="6" max="6" width="15.28515625" style="12" bestFit="1" customWidth="1"/>
    <col min="7" max="7" width="17.42578125" style="12" customWidth="1"/>
    <col min="8" max="8" width="9.140625" style="12"/>
    <col min="9" max="9" width="19" style="12" customWidth="1"/>
    <col min="10" max="16384" width="9.140625" style="12"/>
  </cols>
  <sheetData>
    <row r="1" spans="1:9" ht="21.95" customHeight="1" x14ac:dyDescent="0.5">
      <c r="A1" s="537" t="s">
        <v>207</v>
      </c>
      <c r="B1" s="537"/>
      <c r="C1" s="537"/>
      <c r="D1" s="537"/>
      <c r="E1" s="537"/>
    </row>
    <row r="2" spans="1:9" ht="21.95" customHeight="1" x14ac:dyDescent="0.5">
      <c r="A2" s="537" t="s">
        <v>82</v>
      </c>
      <c r="B2" s="537"/>
      <c r="C2" s="537"/>
      <c r="D2" s="537"/>
      <c r="E2" s="537"/>
    </row>
    <row r="3" spans="1:9" ht="21.95" customHeight="1" x14ac:dyDescent="0.5">
      <c r="A3" s="538" t="e">
        <f>#REF!</f>
        <v>#REF!</v>
      </c>
      <c r="B3" s="538"/>
      <c r="C3" s="479"/>
      <c r="D3" s="479"/>
      <c r="E3" s="479"/>
    </row>
    <row r="4" spans="1:9" s="184" customFormat="1" ht="21.95" customHeight="1" x14ac:dyDescent="0.2">
      <c r="A4" s="539" t="s">
        <v>6</v>
      </c>
      <c r="B4" s="540"/>
      <c r="C4" s="524" t="s">
        <v>7</v>
      </c>
      <c r="D4" s="543" t="s">
        <v>74</v>
      </c>
      <c r="E4" s="515" t="s">
        <v>75</v>
      </c>
    </row>
    <row r="5" spans="1:9" ht="21.95" customHeight="1" x14ac:dyDescent="0.5">
      <c r="A5" s="541"/>
      <c r="B5" s="542"/>
      <c r="C5" s="526"/>
      <c r="D5" s="544"/>
      <c r="E5" s="516"/>
    </row>
    <row r="6" spans="1:9" ht="21.95" customHeight="1" x14ac:dyDescent="0.5">
      <c r="A6" s="104" t="s">
        <v>77</v>
      </c>
      <c r="B6" s="223"/>
      <c r="C6" s="224"/>
      <c r="D6" s="225">
        <f>13790</f>
        <v>13790</v>
      </c>
      <c r="E6" s="225"/>
    </row>
    <row r="7" spans="1:9" ht="21.95" customHeight="1" x14ac:dyDescent="0.5">
      <c r="A7" s="66" t="s">
        <v>201</v>
      </c>
      <c r="B7" s="226"/>
      <c r="C7" s="76"/>
      <c r="D7" s="227">
        <f>2684954.94+104087.52+2000000-1457907.53</f>
        <v>3331134.9299999997</v>
      </c>
      <c r="E7" s="227"/>
    </row>
    <row r="8" spans="1:9" ht="21.95" customHeight="1" x14ac:dyDescent="0.5">
      <c r="A8" s="66" t="s">
        <v>202</v>
      </c>
      <c r="B8" s="226"/>
      <c r="C8" s="76"/>
      <c r="D8" s="227">
        <f>2394580.85</f>
        <v>2394580.85</v>
      </c>
      <c r="E8" s="227"/>
      <c r="I8" s="12">
        <v>210</v>
      </c>
    </row>
    <row r="9" spans="1:9" ht="21.95" customHeight="1" x14ac:dyDescent="0.5">
      <c r="A9" s="66" t="s">
        <v>203</v>
      </c>
      <c r="B9" s="226"/>
      <c r="C9" s="76"/>
      <c r="D9" s="227">
        <f>144068.38+46666</f>
        <v>190734.38</v>
      </c>
      <c r="E9" s="227"/>
    </row>
    <row r="10" spans="1:9" ht="21.95" customHeight="1" x14ac:dyDescent="0.5">
      <c r="A10" s="66" t="s">
        <v>204</v>
      </c>
      <c r="B10" s="226"/>
      <c r="C10" s="76"/>
      <c r="D10" s="227">
        <f>507726.13+1000000+500000-1182439.36+1000000</f>
        <v>1825286.7699999998</v>
      </c>
      <c r="E10" s="227"/>
    </row>
    <row r="11" spans="1:9" ht="21.95" customHeight="1" x14ac:dyDescent="0.5">
      <c r="A11" s="228" t="s">
        <v>180</v>
      </c>
      <c r="B11" s="226"/>
      <c r="C11" s="76"/>
      <c r="D11" s="227">
        <f>6183702.73</f>
        <v>6183702.7300000004</v>
      </c>
      <c r="E11" s="227"/>
    </row>
    <row r="12" spans="1:9" ht="21.95" customHeight="1" x14ac:dyDescent="0.5">
      <c r="A12" s="228" t="s">
        <v>291</v>
      </c>
      <c r="B12" s="226"/>
      <c r="C12" s="76"/>
      <c r="D12" s="227"/>
      <c r="E12" s="227"/>
    </row>
    <row r="13" spans="1:9" ht="21.95" customHeight="1" x14ac:dyDescent="0.5">
      <c r="A13" s="66" t="s">
        <v>232</v>
      </c>
      <c r="B13" s="226"/>
      <c r="C13" s="76"/>
      <c r="D13" s="227">
        <f>3232417.73+3177398.35-3000000-1337103.49-500000-1000000+300</f>
        <v>573012.59000000008</v>
      </c>
      <c r="E13" s="227"/>
      <c r="F13" s="229">
        <f>SUM(D7:D13)</f>
        <v>14498452.25</v>
      </c>
      <c r="G13" s="12" t="s">
        <v>342</v>
      </c>
    </row>
    <row r="14" spans="1:9" ht="21.95" customHeight="1" x14ac:dyDescent="0.5">
      <c r="A14" s="66" t="s">
        <v>78</v>
      </c>
      <c r="B14" s="226"/>
      <c r="C14" s="76"/>
      <c r="D14" s="268">
        <f>9084.86-1114.84</f>
        <v>7970.02</v>
      </c>
      <c r="E14" s="227"/>
      <c r="F14" s="94"/>
    </row>
    <row r="15" spans="1:9" ht="21.95" customHeight="1" x14ac:dyDescent="0.5">
      <c r="A15" s="66" t="s">
        <v>25</v>
      </c>
      <c r="B15" s="78"/>
      <c r="C15" s="25"/>
      <c r="D15" s="227">
        <f>6890788+595219</f>
        <v>7486007</v>
      </c>
      <c r="E15" s="227"/>
      <c r="F15" s="94">
        <f>'รายงานรับ-จ่าย'!B43</f>
        <v>3901369.49</v>
      </c>
      <c r="G15" s="94">
        <f>D15-F15</f>
        <v>3584637.51</v>
      </c>
    </row>
    <row r="16" spans="1:9" ht="21.95" customHeight="1" x14ac:dyDescent="0.5">
      <c r="A16" s="66" t="s">
        <v>85</v>
      </c>
      <c r="B16" s="78"/>
      <c r="C16" s="25"/>
      <c r="D16" s="227">
        <f>2040060+185460</f>
        <v>2225520</v>
      </c>
      <c r="E16" s="227"/>
      <c r="F16" s="94">
        <f>'รายงานรับ-จ่าย'!B44</f>
        <v>1109500</v>
      </c>
      <c r="G16" s="94">
        <f t="shared" ref="G16:G25" si="0">D16-F16</f>
        <v>1116020</v>
      </c>
    </row>
    <row r="17" spans="1:9" ht="21.95" customHeight="1" x14ac:dyDescent="0.5">
      <c r="A17" s="66" t="s">
        <v>84</v>
      </c>
      <c r="B17" s="78"/>
      <c r="C17" s="25"/>
      <c r="D17" s="227">
        <f>3715690+349810-300</f>
        <v>4065200</v>
      </c>
      <c r="E17" s="227"/>
      <c r="F17" s="94">
        <f>'รายงานรับ-จ่าย'!B45</f>
        <v>2119500</v>
      </c>
      <c r="G17" s="94">
        <f t="shared" si="0"/>
        <v>1945700</v>
      </c>
    </row>
    <row r="18" spans="1:9" ht="21.95" customHeight="1" x14ac:dyDescent="0.5">
      <c r="A18" s="66" t="s">
        <v>209</v>
      </c>
      <c r="B18" s="78"/>
      <c r="C18" s="25"/>
      <c r="D18" s="227">
        <f>394210+36360</f>
        <v>430570</v>
      </c>
      <c r="E18" s="227"/>
      <c r="F18" s="94">
        <f>'รายงานรับ-จ่าย'!B46</f>
        <v>225480</v>
      </c>
      <c r="G18" s="94">
        <f t="shared" si="0"/>
        <v>205090</v>
      </c>
    </row>
    <row r="19" spans="1:9" ht="21.95" customHeight="1" x14ac:dyDescent="0.5">
      <c r="A19" s="66" t="s">
        <v>210</v>
      </c>
      <c r="B19" s="78"/>
      <c r="C19" s="25"/>
      <c r="D19" s="227">
        <f>3990943+319855</f>
        <v>4310798</v>
      </c>
      <c r="E19" s="227"/>
      <c r="F19" s="94">
        <f>'รายงานรับ-จ่าย'!B47</f>
        <v>2253804.5</v>
      </c>
      <c r="G19" s="94">
        <f t="shared" si="0"/>
        <v>2056993.5</v>
      </c>
    </row>
    <row r="20" spans="1:9" ht="21.95" customHeight="1" x14ac:dyDescent="0.5">
      <c r="A20" s="66" t="s">
        <v>26</v>
      </c>
      <c r="B20" s="78"/>
      <c r="C20" s="25"/>
      <c r="D20" s="227">
        <f>255150+106930</f>
        <v>362080</v>
      </c>
      <c r="E20" s="227"/>
      <c r="F20" s="94">
        <f>'รายงานรับ-จ่าย'!B48</f>
        <v>201943.5</v>
      </c>
      <c r="G20" s="94">
        <f t="shared" si="0"/>
        <v>160136.5</v>
      </c>
    </row>
    <row r="21" spans="1:9" ht="21.95" customHeight="1" x14ac:dyDescent="0.5">
      <c r="A21" s="66" t="s">
        <v>27</v>
      </c>
      <c r="B21" s="78"/>
      <c r="C21" s="25"/>
      <c r="D21" s="227">
        <f>4115420.35+396674+102680</f>
        <v>4614774.3499999996</v>
      </c>
      <c r="E21" s="227"/>
      <c r="F21" s="94">
        <f>'รายงานรับ-จ่าย'!B49</f>
        <v>2074345</v>
      </c>
      <c r="G21" s="94">
        <f t="shared" si="0"/>
        <v>2540429.3499999996</v>
      </c>
    </row>
    <row r="22" spans="1:9" ht="21.95" customHeight="1" x14ac:dyDescent="0.5">
      <c r="A22" s="66" t="s">
        <v>28</v>
      </c>
      <c r="B22" s="78"/>
      <c r="C22" s="25"/>
      <c r="D22" s="227">
        <f>1613818.27+326358.44</f>
        <v>1940176.71</v>
      </c>
      <c r="E22" s="227"/>
      <c r="F22" s="94">
        <f>'รายงานรับ-จ่าย'!B50</f>
        <v>1050682.6299999999</v>
      </c>
      <c r="G22" s="94">
        <f t="shared" si="0"/>
        <v>889494.08000000007</v>
      </c>
    </row>
    <row r="23" spans="1:9" ht="21.95" customHeight="1" x14ac:dyDescent="0.5">
      <c r="A23" s="66" t="s">
        <v>29</v>
      </c>
      <c r="B23" s="78"/>
      <c r="C23" s="25"/>
      <c r="D23" s="227">
        <f>1188276.79+5944.65</f>
        <v>1194221.44</v>
      </c>
      <c r="E23" s="227"/>
      <c r="F23" s="94">
        <f>'รายงานรับ-จ่าย'!B51</f>
        <v>597863.08000000007</v>
      </c>
      <c r="G23" s="94">
        <f t="shared" si="0"/>
        <v>596358.35999999987</v>
      </c>
    </row>
    <row r="24" spans="1:9" ht="21.95" customHeight="1" x14ac:dyDescent="0.5">
      <c r="A24" s="66" t="s">
        <v>30</v>
      </c>
      <c r="B24" s="78"/>
      <c r="C24" s="25"/>
      <c r="D24" s="227">
        <f>130980.01+1137370</f>
        <v>1268350.01</v>
      </c>
      <c r="E24" s="227"/>
      <c r="F24" s="94">
        <f>'รายงานรับ-จ่าย'!B52</f>
        <v>895000</v>
      </c>
      <c r="G24" s="94">
        <f t="shared" si="0"/>
        <v>373350.01</v>
      </c>
    </row>
    <row r="25" spans="1:9" ht="21.95" customHeight="1" x14ac:dyDescent="0.5">
      <c r="A25" s="66" t="s">
        <v>31</v>
      </c>
      <c r="B25" s="78"/>
      <c r="C25" s="25"/>
      <c r="D25" s="227">
        <f>594000+2020000</f>
        <v>2614000</v>
      </c>
      <c r="E25" s="227"/>
      <c r="F25" s="94">
        <f>'รายงานรับ-จ่าย'!B53</f>
        <v>300000</v>
      </c>
      <c r="G25" s="94">
        <f t="shared" si="0"/>
        <v>2314000</v>
      </c>
      <c r="I25" s="94">
        <f>D15+D16+D17+D18+D19+D20+D21+D22+D23</f>
        <v>26629347.500000004</v>
      </c>
    </row>
    <row r="26" spans="1:9" ht="21.95" customHeight="1" x14ac:dyDescent="0.5">
      <c r="A26" s="66" t="s">
        <v>41</v>
      </c>
      <c r="B26" s="78"/>
      <c r="C26" s="25"/>
      <c r="D26" s="227">
        <f>2010000+892056.93</f>
        <v>2902056.93</v>
      </c>
      <c r="E26" s="227"/>
    </row>
    <row r="27" spans="1:9" ht="21.95" customHeight="1" x14ac:dyDescent="0.5">
      <c r="A27" s="66" t="s">
        <v>79</v>
      </c>
      <c r="B27" s="78"/>
      <c r="C27" s="25"/>
      <c r="D27" s="227">
        <f>166400</f>
        <v>166400</v>
      </c>
      <c r="E27" s="227"/>
    </row>
    <row r="28" spans="1:9" ht="21.95" customHeight="1" x14ac:dyDescent="0.5">
      <c r="A28" s="66" t="s">
        <v>16</v>
      </c>
      <c r="B28" s="78"/>
      <c r="C28" s="25"/>
      <c r="D28" s="227">
        <f>'รายงานรับ-จ่าย'!B55</f>
        <v>0</v>
      </c>
      <c r="E28" s="227"/>
    </row>
    <row r="29" spans="1:9" ht="21.95" customHeight="1" x14ac:dyDescent="0.5">
      <c r="A29" s="66" t="s">
        <v>81</v>
      </c>
      <c r="B29" s="78"/>
      <c r="C29" s="76"/>
      <c r="D29" s="227">
        <f>49064+44312-93376</f>
        <v>0</v>
      </c>
      <c r="E29" s="227"/>
    </row>
    <row r="30" spans="1:9" ht="21.95" customHeight="1" x14ac:dyDescent="0.5">
      <c r="A30" s="66" t="s">
        <v>337</v>
      </c>
      <c r="B30" s="78"/>
      <c r="C30" s="76"/>
      <c r="D30" s="227">
        <f>768335-46666</f>
        <v>721669</v>
      </c>
      <c r="E30" s="227"/>
      <c r="F30" s="94"/>
      <c r="G30" s="72" t="s">
        <v>348</v>
      </c>
    </row>
    <row r="31" spans="1:9" ht="21.95" customHeight="1" x14ac:dyDescent="0.5">
      <c r="A31" s="66" t="s">
        <v>128</v>
      </c>
      <c r="B31" s="78"/>
      <c r="C31" s="76"/>
      <c r="D31" s="227">
        <v>40.74</v>
      </c>
      <c r="E31" s="227"/>
      <c r="F31" s="94"/>
      <c r="G31" s="72" t="s">
        <v>349</v>
      </c>
    </row>
    <row r="32" spans="1:9" ht="21.95" customHeight="1" x14ac:dyDescent="0.5">
      <c r="A32" s="24"/>
      <c r="B32" s="226" t="s">
        <v>174</v>
      </c>
      <c r="C32" s="76"/>
      <c r="D32" s="227"/>
      <c r="E32" s="227">
        <f>30605764.13+3280299.87+13790</f>
        <v>33899854</v>
      </c>
      <c r="F32" s="94">
        <f>D15+D16+D17+D18+D19+D20+D21+D22+D23+D24+D25+D26</f>
        <v>33413754.440000005</v>
      </c>
      <c r="G32" s="94">
        <f>E32-F32</f>
        <v>486099.55999999493</v>
      </c>
    </row>
    <row r="33" spans="1:9" ht="21.95" customHeight="1" x14ac:dyDescent="0.5">
      <c r="A33" s="24"/>
      <c r="B33" s="226" t="s">
        <v>175</v>
      </c>
      <c r="C33" s="76"/>
      <c r="D33" s="227"/>
      <c r="E33" s="230">
        <f>721669+555858.17</f>
        <v>1277527.17</v>
      </c>
      <c r="I33" s="230">
        <f>1276366.37+7432.97+71.16+15355-5179.33-16519+46666</f>
        <v>1324193.17</v>
      </c>
    </row>
    <row r="34" spans="1:9" ht="21.95" customHeight="1" x14ac:dyDescent="0.5">
      <c r="A34" s="24"/>
      <c r="B34" s="226" t="s">
        <v>224</v>
      </c>
      <c r="C34" s="76"/>
      <c r="D34" s="227"/>
      <c r="E34" s="230"/>
    </row>
    <row r="35" spans="1:9" ht="21.95" customHeight="1" x14ac:dyDescent="0.5">
      <c r="A35" s="24"/>
      <c r="B35" s="226" t="s">
        <v>176</v>
      </c>
      <c r="C35" s="76"/>
      <c r="D35" s="227"/>
      <c r="E35" s="230">
        <f>1572035-395000-1140000</f>
        <v>37035</v>
      </c>
    </row>
    <row r="36" spans="1:9" ht="21.95" customHeight="1" x14ac:dyDescent="0.5">
      <c r="A36" s="24"/>
      <c r="B36" s="226" t="s">
        <v>177</v>
      </c>
      <c r="C36" s="76"/>
      <c r="D36" s="227"/>
      <c r="E36" s="230">
        <f>385393</f>
        <v>385393</v>
      </c>
    </row>
    <row r="37" spans="1:9" ht="21.95" customHeight="1" x14ac:dyDescent="0.5">
      <c r="A37" s="24"/>
      <c r="B37" s="226" t="s">
        <v>304</v>
      </c>
      <c r="C37" s="76"/>
      <c r="D37" s="227"/>
      <c r="E37" s="230">
        <f>34149</f>
        <v>34149</v>
      </c>
    </row>
    <row r="38" spans="1:9" ht="21.95" customHeight="1" x14ac:dyDescent="0.5">
      <c r="A38" s="24"/>
      <c r="B38" s="226" t="s">
        <v>32</v>
      </c>
      <c r="C38" s="76"/>
      <c r="D38" s="227"/>
      <c r="E38" s="230">
        <f>2374220.85</f>
        <v>2374220.85</v>
      </c>
    </row>
    <row r="39" spans="1:9" ht="21.95" customHeight="1" x14ac:dyDescent="0.5">
      <c r="A39" s="24"/>
      <c r="B39" s="226" t="s">
        <v>38</v>
      </c>
      <c r="C39" s="76"/>
      <c r="D39" s="227"/>
      <c r="E39" s="230">
        <f>6665342.69</f>
        <v>6665342.6900000004</v>
      </c>
    </row>
    <row r="40" spans="1:9" ht="21.95" customHeight="1" x14ac:dyDescent="0.5">
      <c r="A40" s="31"/>
      <c r="B40" s="231" t="s">
        <v>364</v>
      </c>
      <c r="C40" s="82"/>
      <c r="D40" s="232"/>
      <c r="E40" s="233">
        <f>2020000+1140000</f>
        <v>3160000</v>
      </c>
    </row>
    <row r="41" spans="1:9" ht="21.95" customHeight="1" x14ac:dyDescent="0.5">
      <c r="A41" s="31"/>
      <c r="B41" s="231" t="s">
        <v>374</v>
      </c>
      <c r="C41" s="82"/>
      <c r="D41" s="232"/>
      <c r="E41" s="233">
        <v>1000000</v>
      </c>
    </row>
    <row r="42" spans="1:9" ht="21.95" customHeight="1" x14ac:dyDescent="0.5">
      <c r="A42" s="31"/>
      <c r="B42" s="231" t="s">
        <v>234</v>
      </c>
      <c r="C42" s="82"/>
      <c r="D42" s="232"/>
      <c r="E42" s="233">
        <v>0</v>
      </c>
    </row>
    <row r="43" spans="1:9" ht="21.95" customHeight="1" x14ac:dyDescent="0.5">
      <c r="A43" s="234"/>
      <c r="B43" s="234"/>
      <c r="C43" s="235"/>
      <c r="D43" s="197">
        <f>SUM(D6:D42)</f>
        <v>48822076.449999996</v>
      </c>
      <c r="E43" s="197">
        <f>SUM(E6:E42)</f>
        <v>48833521.710000001</v>
      </c>
    </row>
    <row r="44" spans="1:9" ht="33" customHeight="1" x14ac:dyDescent="0.5">
      <c r="A44" s="99"/>
      <c r="B44" s="99"/>
      <c r="C44" s="99"/>
      <c r="D44" s="191"/>
      <c r="E44" s="191"/>
    </row>
    <row r="45" spans="1:9" ht="21.95" customHeight="1" x14ac:dyDescent="0.5">
      <c r="E45" s="215">
        <f>D43-E43</f>
        <v>-11445.260000005364</v>
      </c>
    </row>
    <row r="48" spans="1:9" ht="21.95" customHeight="1" x14ac:dyDescent="0.5">
      <c r="F48" s="12">
        <f>F45-F46</f>
        <v>0</v>
      </c>
    </row>
  </sheetData>
  <mergeCells count="7">
    <mergeCell ref="A1:E1"/>
    <mergeCell ref="A2:E2"/>
    <mergeCell ref="A3:E3"/>
    <mergeCell ref="A4:B5"/>
    <mergeCell ref="C4:C5"/>
    <mergeCell ref="D4:D5"/>
    <mergeCell ref="E4:E5"/>
  </mergeCells>
  <printOptions horizontalCentered="1"/>
  <pageMargins left="0.51181102362204722" right="0.15748031496062992" top="0.31496062992125984" bottom="0.23622047244094491" header="0.27559055118110237" footer="0.15748031496062992"/>
  <pageSetup paperSize="9" scale="87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zoomScaleNormal="100" workbookViewId="0">
      <selection activeCell="F18" sqref="F18"/>
    </sheetView>
  </sheetViews>
  <sheetFormatPr defaultRowHeight="21" customHeight="1" x14ac:dyDescent="0.5"/>
  <cols>
    <col min="1" max="6" width="16.5703125" style="12" customWidth="1"/>
    <col min="7" max="7" width="18.5703125" style="55" customWidth="1"/>
    <col min="8" max="8" width="18.140625" style="55" customWidth="1"/>
    <col min="9" max="16384" width="9.140625" style="55"/>
  </cols>
  <sheetData>
    <row r="1" spans="1:6" ht="21" customHeight="1" x14ac:dyDescent="0.5">
      <c r="E1" s="53" t="s">
        <v>105</v>
      </c>
      <c r="F1" s="54" t="str">
        <f>'ใบผ่าน 2'!F1</f>
        <v>6/63</v>
      </c>
    </row>
    <row r="2" spans="1:6" ht="21" customHeight="1" x14ac:dyDescent="0.5">
      <c r="E2" s="53" t="s">
        <v>58</v>
      </c>
      <c r="F2" s="56">
        <f>'ใบผ่าน 2'!F2</f>
        <v>242247</v>
      </c>
    </row>
    <row r="3" spans="1:6" ht="21" customHeight="1" x14ac:dyDescent="0.3">
      <c r="A3" s="472" t="s">
        <v>156</v>
      </c>
      <c r="B3" s="472"/>
      <c r="C3" s="472"/>
      <c r="D3" s="472"/>
      <c r="E3" s="472"/>
      <c r="F3" s="472"/>
    </row>
    <row r="4" spans="1:6" ht="21" customHeight="1" x14ac:dyDescent="0.3">
      <c r="A4" s="57" t="s">
        <v>107</v>
      </c>
      <c r="B4" s="57"/>
      <c r="C4" s="57"/>
      <c r="D4" s="58"/>
      <c r="E4" s="58"/>
      <c r="F4" s="58"/>
    </row>
    <row r="5" spans="1:6" s="61" customFormat="1" ht="21" customHeight="1" x14ac:dyDescent="0.3">
      <c r="A5" s="470" t="s">
        <v>6</v>
      </c>
      <c r="B5" s="471"/>
      <c r="C5" s="471"/>
      <c r="D5" s="59" t="s">
        <v>7</v>
      </c>
      <c r="E5" s="60" t="s">
        <v>95</v>
      </c>
      <c r="F5" s="59" t="s">
        <v>96</v>
      </c>
    </row>
    <row r="6" spans="1:6" ht="21" customHeight="1" x14ac:dyDescent="0.3">
      <c r="A6" s="62" t="s">
        <v>97</v>
      </c>
      <c r="B6" s="62"/>
      <c r="C6" s="63"/>
      <c r="D6" s="105"/>
      <c r="E6" s="106">
        <f>ใบผ่าน1!F15</f>
        <v>1209053.68</v>
      </c>
      <c r="F6" s="65"/>
    </row>
    <row r="7" spans="1:6" ht="21" customHeight="1" x14ac:dyDescent="0.5">
      <c r="A7" s="118"/>
      <c r="B7" s="425" t="s">
        <v>101</v>
      </c>
      <c r="C7" s="67"/>
      <c r="D7" s="76"/>
      <c r="E7" s="75"/>
      <c r="F7" s="34"/>
    </row>
    <row r="8" spans="1:6" ht="21" customHeight="1" x14ac:dyDescent="0.5">
      <c r="A8" s="118"/>
      <c r="B8" s="425" t="s">
        <v>99</v>
      </c>
      <c r="C8" s="67"/>
      <c r="D8" s="107"/>
      <c r="E8" s="71"/>
      <c r="F8" s="34">
        <v>580</v>
      </c>
    </row>
    <row r="9" spans="1:6" ht="21" customHeight="1" x14ac:dyDescent="0.5">
      <c r="A9" s="118"/>
      <c r="B9" s="425" t="s">
        <v>102</v>
      </c>
      <c r="C9" s="67"/>
      <c r="D9" s="107"/>
      <c r="E9" s="71"/>
      <c r="F9" s="34">
        <v>400</v>
      </c>
    </row>
    <row r="10" spans="1:6" ht="21" customHeight="1" x14ac:dyDescent="0.5">
      <c r="A10" s="118"/>
      <c r="B10" s="426" t="s">
        <v>426</v>
      </c>
      <c r="C10" s="67"/>
      <c r="D10" s="107"/>
      <c r="E10" s="71"/>
      <c r="F10" s="34">
        <v>20400</v>
      </c>
    </row>
    <row r="11" spans="1:6" ht="21" customHeight="1" x14ac:dyDescent="0.5">
      <c r="A11" s="118"/>
      <c r="B11" s="427" t="s">
        <v>427</v>
      </c>
      <c r="C11" s="67"/>
      <c r="D11" s="107"/>
      <c r="E11" s="71"/>
      <c r="F11" s="34">
        <v>100</v>
      </c>
    </row>
    <row r="12" spans="1:6" ht="21" customHeight="1" x14ac:dyDescent="0.5">
      <c r="A12" s="118"/>
      <c r="B12" s="427" t="s">
        <v>428</v>
      </c>
      <c r="C12" s="67"/>
      <c r="D12" s="107"/>
      <c r="E12" s="71"/>
      <c r="F12" s="34"/>
    </row>
    <row r="13" spans="1:6" ht="21" customHeight="1" x14ac:dyDescent="0.5">
      <c r="A13" s="118"/>
      <c r="B13" s="427" t="s">
        <v>429</v>
      </c>
      <c r="C13" s="73"/>
      <c r="D13" s="76"/>
      <c r="E13" s="75"/>
      <c r="F13" s="34">
        <v>600</v>
      </c>
    </row>
    <row r="14" spans="1:6" ht="21" customHeight="1" x14ac:dyDescent="0.5">
      <c r="A14" s="118"/>
      <c r="B14" s="427" t="s">
        <v>430</v>
      </c>
      <c r="C14" s="73"/>
      <c r="D14" s="76"/>
      <c r="E14" s="75"/>
      <c r="F14" s="34"/>
    </row>
    <row r="15" spans="1:6" ht="21" customHeight="1" x14ac:dyDescent="0.5">
      <c r="A15" s="118"/>
      <c r="B15" s="427" t="s">
        <v>431</v>
      </c>
      <c r="C15" s="73"/>
      <c r="D15" s="76"/>
      <c r="E15" s="75"/>
      <c r="F15" s="34"/>
    </row>
    <row r="16" spans="1:6" ht="21" customHeight="1" x14ac:dyDescent="0.5">
      <c r="A16" s="118"/>
      <c r="B16" s="427" t="s">
        <v>432</v>
      </c>
      <c r="C16" s="73"/>
      <c r="D16" s="76"/>
      <c r="E16" s="75"/>
      <c r="F16" s="34"/>
    </row>
    <row r="17" spans="1:8" ht="21" customHeight="1" x14ac:dyDescent="0.5">
      <c r="A17" s="118"/>
      <c r="B17" s="428" t="s">
        <v>433</v>
      </c>
      <c r="C17" s="73"/>
      <c r="D17" s="76"/>
      <c r="E17" s="75"/>
      <c r="F17" s="34">
        <f>288.7+4839.54</f>
        <v>5128.24</v>
      </c>
    </row>
    <row r="18" spans="1:8" ht="21" customHeight="1" x14ac:dyDescent="0.5">
      <c r="A18" s="24"/>
      <c r="B18" s="428" t="s">
        <v>434</v>
      </c>
      <c r="C18" s="73"/>
      <c r="D18" s="76"/>
      <c r="E18" s="75"/>
      <c r="F18" s="34">
        <v>81914</v>
      </c>
    </row>
    <row r="19" spans="1:8" ht="21" customHeight="1" x14ac:dyDescent="0.5">
      <c r="A19" s="24"/>
      <c r="B19" s="426" t="s">
        <v>435</v>
      </c>
      <c r="C19" s="73"/>
      <c r="D19" s="76"/>
      <c r="E19" s="75"/>
      <c r="F19" s="34"/>
    </row>
    <row r="20" spans="1:8" ht="21" customHeight="1" x14ac:dyDescent="0.5">
      <c r="A20" s="24"/>
      <c r="B20" s="427" t="s">
        <v>436</v>
      </c>
      <c r="C20" s="73"/>
      <c r="D20" s="76"/>
      <c r="E20" s="75"/>
      <c r="F20" s="34"/>
    </row>
    <row r="21" spans="1:8" ht="21" customHeight="1" x14ac:dyDescent="0.5">
      <c r="A21" s="24"/>
      <c r="B21" s="429" t="s">
        <v>437</v>
      </c>
      <c r="C21" s="73"/>
      <c r="D21" s="76"/>
      <c r="E21" s="75"/>
      <c r="F21" s="34"/>
    </row>
    <row r="22" spans="1:8" ht="21" customHeight="1" x14ac:dyDescent="0.5">
      <c r="A22" s="24"/>
      <c r="B22" s="426" t="s">
        <v>438</v>
      </c>
      <c r="C22" s="73"/>
      <c r="D22" s="76"/>
      <c r="E22" s="75"/>
      <c r="F22" s="34"/>
    </row>
    <row r="23" spans="1:8" ht="21" customHeight="1" x14ac:dyDescent="0.5">
      <c r="A23" s="24"/>
      <c r="B23" s="427" t="s">
        <v>439</v>
      </c>
      <c r="C23" s="73"/>
      <c r="D23" s="76"/>
      <c r="E23" s="75"/>
      <c r="F23" s="34">
        <v>119329.36</v>
      </c>
    </row>
    <row r="24" spans="1:8" ht="21" customHeight="1" x14ac:dyDescent="0.5">
      <c r="A24" s="24"/>
      <c r="B24" s="427" t="s">
        <v>229</v>
      </c>
      <c r="C24" s="73"/>
      <c r="D24" s="76"/>
      <c r="E24" s="75"/>
      <c r="F24" s="34"/>
    </row>
    <row r="25" spans="1:8" ht="21" customHeight="1" x14ac:dyDescent="0.5">
      <c r="A25" s="24"/>
      <c r="B25" s="427" t="s">
        <v>103</v>
      </c>
      <c r="C25" s="73"/>
      <c r="D25" s="76"/>
      <c r="E25" s="75"/>
      <c r="F25" s="34">
        <v>368489.86</v>
      </c>
    </row>
    <row r="26" spans="1:8" ht="21" customHeight="1" x14ac:dyDescent="0.5">
      <c r="A26" s="24"/>
      <c r="B26" s="427" t="s">
        <v>104</v>
      </c>
      <c r="C26" s="73"/>
      <c r="D26" s="76"/>
      <c r="E26" s="75"/>
      <c r="F26" s="34">
        <v>7704.22</v>
      </c>
    </row>
    <row r="27" spans="1:8" ht="21" customHeight="1" x14ac:dyDescent="0.5">
      <c r="A27" s="24"/>
      <c r="B27" s="427" t="s">
        <v>335</v>
      </c>
      <c r="C27" s="73"/>
      <c r="D27" s="76"/>
      <c r="E27" s="75"/>
      <c r="F27" s="34"/>
    </row>
    <row r="28" spans="1:8" ht="21" customHeight="1" x14ac:dyDescent="0.5">
      <c r="A28" s="24"/>
      <c r="B28" s="427" t="s">
        <v>440</v>
      </c>
      <c r="C28" s="73"/>
      <c r="D28" s="76"/>
      <c r="E28" s="75"/>
      <c r="F28" s="34"/>
    </row>
    <row r="29" spans="1:8" ht="21" customHeight="1" x14ac:dyDescent="0.5">
      <c r="A29" s="24"/>
      <c r="B29" s="427" t="s">
        <v>41</v>
      </c>
      <c r="C29" s="73"/>
      <c r="D29" s="76"/>
      <c r="E29" s="75"/>
      <c r="F29" s="34">
        <f>11300+571400</f>
        <v>582700</v>
      </c>
    </row>
    <row r="30" spans="1:8" ht="21" customHeight="1" x14ac:dyDescent="0.5">
      <c r="A30" s="24"/>
      <c r="B30" s="427" t="s">
        <v>351</v>
      </c>
      <c r="C30" s="73"/>
      <c r="D30" s="76"/>
      <c r="E30" s="75"/>
      <c r="F30" s="34">
        <v>21708</v>
      </c>
    </row>
    <row r="31" spans="1:8" ht="21" customHeight="1" x14ac:dyDescent="0.5">
      <c r="A31" s="27"/>
      <c r="B31" s="397"/>
      <c r="C31" s="86"/>
      <c r="D31" s="115"/>
      <c r="E31" s="116"/>
      <c r="F31" s="88"/>
    </row>
    <row r="32" spans="1:8" ht="21" customHeight="1" x14ac:dyDescent="0.5">
      <c r="A32" s="89"/>
      <c r="B32" s="89"/>
      <c r="C32" s="89"/>
      <c r="D32" s="90"/>
      <c r="E32" s="91">
        <f>SUM(E6:E31)</f>
        <v>1209053.68</v>
      </c>
      <c r="F32" s="92">
        <f>SUM(F6:F31)</f>
        <v>1209053.68</v>
      </c>
      <c r="G32" s="121">
        <f>E32-F32</f>
        <v>0</v>
      </c>
      <c r="H32" s="94"/>
    </row>
    <row r="33" spans="1:8" ht="21" customHeight="1" x14ac:dyDescent="0.5">
      <c r="A33" s="95"/>
      <c r="B33" s="95"/>
      <c r="C33" s="95"/>
      <c r="D33" s="122"/>
      <c r="E33" s="123"/>
      <c r="F33" s="123"/>
      <c r="G33" s="108"/>
      <c r="H33" s="94"/>
    </row>
    <row r="34" spans="1:8" ht="21" customHeight="1" x14ac:dyDescent="0.5">
      <c r="A34" s="95"/>
      <c r="B34" s="95"/>
      <c r="C34" s="95"/>
      <c r="D34" s="122"/>
      <c r="E34" s="123"/>
      <c r="F34" s="123"/>
      <c r="G34" s="108"/>
    </row>
    <row r="35" spans="1:8" ht="21" customHeight="1" x14ac:dyDescent="0.5">
      <c r="A35" s="98" t="s">
        <v>108</v>
      </c>
      <c r="B35" s="12" t="s">
        <v>154</v>
      </c>
      <c r="D35" s="51" t="str">
        <f>ใบผ่าน1!D36</f>
        <v>มีนาคม</v>
      </c>
      <c r="E35" s="12" t="s">
        <v>112</v>
      </c>
    </row>
    <row r="36" spans="1:8" ht="21" customHeight="1" x14ac:dyDescent="0.5">
      <c r="A36" s="99"/>
      <c r="B36" s="99"/>
      <c r="C36" s="99"/>
      <c r="D36" s="99"/>
      <c r="E36" s="99"/>
      <c r="F36" s="99"/>
    </row>
    <row r="37" spans="1:8" ht="21" customHeight="1" x14ac:dyDescent="0.5">
      <c r="A37" s="100" t="s">
        <v>63</v>
      </c>
      <c r="B37" s="89"/>
      <c r="C37" s="100" t="s">
        <v>109</v>
      </c>
      <c r="D37" s="101"/>
      <c r="E37" s="89" t="s">
        <v>110</v>
      </c>
      <c r="F37" s="101"/>
    </row>
    <row r="38" spans="1:8" ht="21" customHeight="1" x14ac:dyDescent="0.5">
      <c r="A38" s="102"/>
      <c r="B38" s="95"/>
      <c r="C38" s="102"/>
      <c r="D38" s="103"/>
      <c r="E38" s="95"/>
      <c r="F38" s="103"/>
    </row>
    <row r="39" spans="1:8" ht="21" customHeight="1" x14ac:dyDescent="0.5">
      <c r="A39" s="473" t="s">
        <v>149</v>
      </c>
      <c r="B39" s="478"/>
      <c r="C39" s="473" t="s">
        <v>149</v>
      </c>
      <c r="D39" s="474"/>
      <c r="E39" s="478" t="s">
        <v>149</v>
      </c>
      <c r="F39" s="474"/>
    </row>
    <row r="40" spans="1:8" ht="21" customHeight="1" x14ac:dyDescent="0.5">
      <c r="A40" s="473" t="str">
        <f>ใบผ่าน1!A41</f>
        <v>(นายสงกรานต์  อัครวิจิตร)</v>
      </c>
      <c r="B40" s="478"/>
      <c r="C40" s="473" t="str">
        <f>ใบผ่าน1!C41</f>
        <v>(นายศักดิ์ชัย  มารมย์)</v>
      </c>
      <c r="D40" s="474"/>
      <c r="E40" s="478" t="str">
        <f>A40</f>
        <v>(นายสงกรานต์  อัครวิจิตร)</v>
      </c>
      <c r="F40" s="474"/>
      <c r="H40" s="55" t="s">
        <v>220</v>
      </c>
    </row>
    <row r="41" spans="1:8" ht="21" customHeight="1" x14ac:dyDescent="0.5">
      <c r="A41" s="473" t="str">
        <f>ใบผ่าน1!A42</f>
        <v>ผู้อำนวยการกองคลัง</v>
      </c>
      <c r="B41" s="474"/>
      <c r="C41" s="473" t="str">
        <f>ใบผ่าน1!C42</f>
        <v>นายกองค์การบริหารส่วนตำบลสมสนุก</v>
      </c>
      <c r="D41" s="474"/>
      <c r="E41" s="473" t="str">
        <f>ใบผ่าน1!E42</f>
        <v>ผู้อำนวยการกองคลัง</v>
      </c>
      <c r="F41" s="474"/>
    </row>
    <row r="42" spans="1:8" ht="21" customHeight="1" x14ac:dyDescent="0.5">
      <c r="A42" s="482"/>
      <c r="B42" s="483"/>
      <c r="C42" s="476"/>
      <c r="D42" s="477"/>
      <c r="E42" s="479"/>
      <c r="F42" s="477"/>
    </row>
  </sheetData>
  <mergeCells count="14">
    <mergeCell ref="E40:F40"/>
    <mergeCell ref="A42:B42"/>
    <mergeCell ref="C42:D42"/>
    <mergeCell ref="E42:F42"/>
    <mergeCell ref="A3:F3"/>
    <mergeCell ref="A5:C5"/>
    <mergeCell ref="A39:B39"/>
    <mergeCell ref="C39:D39"/>
    <mergeCell ref="E39:F39"/>
    <mergeCell ref="A41:B41"/>
    <mergeCell ref="E41:F41"/>
    <mergeCell ref="C41:D41"/>
    <mergeCell ref="A40:B40"/>
    <mergeCell ref="C40:D40"/>
  </mergeCells>
  <pageMargins left="0.761811024" right="0.511811023622047" top="0.39370078740157499" bottom="0.39370078740157499" header="0.196850393700787" footer="0.196850393700787"/>
  <pageSetup paperSize="9" scale="9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topLeftCell="A19" zoomScaleNormal="100" workbookViewId="0">
      <selection activeCell="I21" sqref="I21"/>
    </sheetView>
  </sheetViews>
  <sheetFormatPr defaultRowHeight="24" customHeight="1" x14ac:dyDescent="0.5"/>
  <cols>
    <col min="1" max="2" width="16.5703125" style="12" customWidth="1"/>
    <col min="3" max="3" width="18.28515625" style="12" customWidth="1"/>
    <col min="4" max="4" width="16.5703125" style="12" customWidth="1"/>
    <col min="5" max="5" width="18.42578125" style="52" customWidth="1"/>
    <col min="6" max="6" width="18.5703125" style="52" customWidth="1"/>
    <col min="7" max="7" width="18.5703125" style="55" customWidth="1"/>
    <col min="8" max="16384" width="9.140625" style="55"/>
  </cols>
  <sheetData>
    <row r="1" spans="1:18" ht="24" customHeight="1" x14ac:dyDescent="0.5">
      <c r="E1" s="53" t="s">
        <v>105</v>
      </c>
      <c r="F1" s="404" t="str">
        <f>'ใบผ่าน 3'!F1</f>
        <v>6/63</v>
      </c>
    </row>
    <row r="2" spans="1:18" ht="24" customHeight="1" x14ac:dyDescent="0.5">
      <c r="E2" s="53" t="s">
        <v>58</v>
      </c>
      <c r="F2" s="439">
        <f>+'ใบผ่าน 3'!F2</f>
        <v>242247</v>
      </c>
    </row>
    <row r="3" spans="1:18" ht="24" customHeight="1" x14ac:dyDescent="0.3">
      <c r="A3" s="472" t="s">
        <v>111</v>
      </c>
      <c r="B3" s="472"/>
      <c r="C3" s="472"/>
      <c r="D3" s="472"/>
      <c r="E3" s="472"/>
      <c r="F3" s="472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24" customHeight="1" x14ac:dyDescent="0.3">
      <c r="A4" s="57" t="s">
        <v>107</v>
      </c>
      <c r="B4" s="57"/>
      <c r="C4" s="57"/>
      <c r="D4" s="58"/>
      <c r="E4" s="405"/>
      <c r="F4" s="405"/>
    </row>
    <row r="5" spans="1:18" s="61" customFormat="1" ht="24" customHeight="1" x14ac:dyDescent="0.3">
      <c r="A5" s="470" t="s">
        <v>6</v>
      </c>
      <c r="B5" s="471"/>
      <c r="C5" s="486"/>
      <c r="D5" s="59" t="s">
        <v>7</v>
      </c>
      <c r="E5" s="406" t="s">
        <v>95</v>
      </c>
      <c r="F5" s="16" t="s">
        <v>96</v>
      </c>
    </row>
    <row r="6" spans="1:18" s="61" customFormat="1" ht="24" customHeight="1" x14ac:dyDescent="0.3">
      <c r="A6" s="283" t="s">
        <v>380</v>
      </c>
      <c r="B6" s="284"/>
      <c r="C6" s="284"/>
      <c r="D6" s="285"/>
      <c r="E6" s="407">
        <f>'ใบผ่าน 2'!F44</f>
        <v>1412287.4100000001</v>
      </c>
      <c r="F6" s="408"/>
    </row>
    <row r="7" spans="1:18" s="61" customFormat="1" ht="24" customHeight="1" x14ac:dyDescent="0.3">
      <c r="A7" s="417"/>
      <c r="B7" s="418" t="s">
        <v>377</v>
      </c>
      <c r="C7" s="418"/>
      <c r="D7" s="415"/>
      <c r="E7" s="419"/>
      <c r="F7" s="146">
        <f>E6</f>
        <v>1412287.4100000001</v>
      </c>
    </row>
    <row r="8" spans="1:18" s="61" customFormat="1" ht="24" customHeight="1" x14ac:dyDescent="0.3">
      <c r="A8" s="417"/>
      <c r="B8" s="418"/>
      <c r="C8" s="418"/>
      <c r="D8" s="415"/>
      <c r="E8" s="419"/>
      <c r="F8" s="146"/>
    </row>
    <row r="9" spans="1:18" s="61" customFormat="1" ht="24" customHeight="1" x14ac:dyDescent="0.3">
      <c r="A9" s="417" t="s">
        <v>376</v>
      </c>
      <c r="B9" s="418"/>
      <c r="C9" s="418"/>
      <c r="D9" s="415"/>
      <c r="E9" s="419">
        <f>'ใบผ่าน 2'!F47</f>
        <v>762401</v>
      </c>
      <c r="F9" s="146"/>
    </row>
    <row r="10" spans="1:18" s="61" customFormat="1" ht="24" customHeight="1" x14ac:dyDescent="0.3">
      <c r="A10" s="417"/>
      <c r="B10" s="418" t="s">
        <v>198</v>
      </c>
      <c r="C10" s="418"/>
      <c r="D10" s="415"/>
      <c r="E10" s="419"/>
      <c r="F10" s="146">
        <f>E9</f>
        <v>762401</v>
      </c>
    </row>
    <row r="11" spans="1:18" s="61" customFormat="1" ht="24" customHeight="1" x14ac:dyDescent="0.3">
      <c r="A11" s="417"/>
      <c r="B11" s="418"/>
      <c r="C11" s="418"/>
      <c r="D11" s="415"/>
      <c r="E11" s="419"/>
      <c r="F11" s="146"/>
    </row>
    <row r="12" spans="1:18" ht="24" customHeight="1" x14ac:dyDescent="0.5">
      <c r="A12" s="66" t="s">
        <v>377</v>
      </c>
      <c r="B12" s="119"/>
      <c r="C12" s="73"/>
      <c r="D12" s="76"/>
      <c r="E12" s="83">
        <v>1000000</v>
      </c>
      <c r="F12" s="34"/>
    </row>
    <row r="13" spans="1:18" ht="24" customHeight="1" x14ac:dyDescent="0.5">
      <c r="A13" s="66">
        <v>54240505591</v>
      </c>
      <c r="B13" s="119"/>
      <c r="C13" s="73"/>
      <c r="D13" s="76"/>
      <c r="E13" s="83">
        <v>1000000</v>
      </c>
      <c r="F13" s="34"/>
    </row>
    <row r="14" spans="1:18" ht="24" customHeight="1" x14ac:dyDescent="0.5">
      <c r="A14" s="126"/>
      <c r="B14" s="119" t="s">
        <v>192</v>
      </c>
      <c r="C14" s="73"/>
      <c r="D14" s="76"/>
      <c r="E14" s="83"/>
      <c r="F14" s="34">
        <v>2000000</v>
      </c>
    </row>
    <row r="15" spans="1:18" ht="24" customHeight="1" x14ac:dyDescent="0.5">
      <c r="A15" s="24"/>
      <c r="B15" s="120"/>
      <c r="C15" s="78"/>
      <c r="D15" s="76"/>
      <c r="E15" s="83"/>
      <c r="F15" s="34"/>
    </row>
    <row r="16" spans="1:18" ht="24" customHeight="1" x14ac:dyDescent="0.5">
      <c r="A16" s="24" t="s">
        <v>27</v>
      </c>
      <c r="B16" s="120"/>
      <c r="C16" s="78"/>
      <c r="D16" s="76"/>
      <c r="E16" s="83">
        <v>1744</v>
      </c>
      <c r="F16" s="34"/>
    </row>
    <row r="17" spans="1:7" ht="24" customHeight="1" x14ac:dyDescent="0.5">
      <c r="A17" s="127"/>
      <c r="B17" s="120" t="s">
        <v>127</v>
      </c>
      <c r="C17" s="78"/>
      <c r="D17" s="76"/>
      <c r="E17" s="83"/>
      <c r="F17" s="34">
        <f>E16</f>
        <v>1744</v>
      </c>
    </row>
    <row r="18" spans="1:7" ht="24" customHeight="1" x14ac:dyDescent="0.5">
      <c r="A18" s="126" t="s">
        <v>462</v>
      </c>
      <c r="B18" s="119"/>
      <c r="C18" s="73"/>
      <c r="D18" s="76"/>
      <c r="E18" s="83"/>
      <c r="F18" s="34"/>
    </row>
    <row r="19" spans="1:7" ht="24" customHeight="1" x14ac:dyDescent="0.5">
      <c r="A19" s="126" t="s">
        <v>463</v>
      </c>
      <c r="B19" s="119"/>
      <c r="C19" s="73"/>
      <c r="D19" s="76"/>
      <c r="E19" s="83"/>
      <c r="F19" s="34"/>
    </row>
    <row r="20" spans="1:7" ht="24" customHeight="1" x14ac:dyDescent="0.5">
      <c r="A20" s="126"/>
      <c r="B20" s="119"/>
      <c r="C20" s="73"/>
      <c r="D20" s="76"/>
      <c r="E20" s="83"/>
      <c r="F20" s="34"/>
    </row>
    <row r="21" spans="1:7" ht="24" customHeight="1" x14ac:dyDescent="0.5">
      <c r="A21" s="24" t="s">
        <v>27</v>
      </c>
      <c r="B21" s="120"/>
      <c r="C21" s="78"/>
      <c r="D21" s="76"/>
      <c r="E21" s="83">
        <v>167002</v>
      </c>
      <c r="F21" s="34"/>
    </row>
    <row r="22" spans="1:7" ht="24" customHeight="1" x14ac:dyDescent="0.5">
      <c r="A22" s="127"/>
      <c r="B22" s="120" t="s">
        <v>127</v>
      </c>
      <c r="C22" s="78"/>
      <c r="D22" s="76"/>
      <c r="E22" s="83"/>
      <c r="F22" s="34">
        <f>E21</f>
        <v>167002</v>
      </c>
    </row>
    <row r="23" spans="1:7" ht="24" customHeight="1" x14ac:dyDescent="0.5">
      <c r="A23" s="126" t="s">
        <v>465</v>
      </c>
      <c r="B23" s="119"/>
      <c r="C23" s="73"/>
      <c r="D23" s="76"/>
      <c r="E23" s="83"/>
      <c r="F23" s="34"/>
    </row>
    <row r="24" spans="1:7" ht="24" customHeight="1" x14ac:dyDescent="0.5">
      <c r="A24" s="126" t="s">
        <v>464</v>
      </c>
      <c r="B24" s="119"/>
      <c r="C24" s="73"/>
      <c r="D24" s="76"/>
      <c r="E24" s="83"/>
      <c r="F24" s="34"/>
    </row>
    <row r="25" spans="1:7" ht="24" customHeight="1" x14ac:dyDescent="0.5">
      <c r="A25" s="126"/>
      <c r="B25" s="119"/>
      <c r="C25" s="73"/>
      <c r="D25" s="76"/>
      <c r="E25" s="83"/>
      <c r="F25" s="34"/>
    </row>
    <row r="26" spans="1:7" ht="24" customHeight="1" x14ac:dyDescent="0.5">
      <c r="A26" s="24" t="s">
        <v>27</v>
      </c>
      <c r="B26" s="120"/>
      <c r="C26" s="78"/>
      <c r="D26" s="76"/>
      <c r="E26" s="83">
        <v>1208</v>
      </c>
      <c r="F26" s="34"/>
    </row>
    <row r="27" spans="1:7" ht="24" customHeight="1" x14ac:dyDescent="0.5">
      <c r="A27" s="127"/>
      <c r="B27" s="120" t="s">
        <v>127</v>
      </c>
      <c r="C27" s="78"/>
      <c r="D27" s="76"/>
      <c r="E27" s="83"/>
      <c r="F27" s="34">
        <f>E26</f>
        <v>1208</v>
      </c>
    </row>
    <row r="28" spans="1:7" ht="24" customHeight="1" x14ac:dyDescent="0.5">
      <c r="A28" s="126" t="s">
        <v>466</v>
      </c>
      <c r="B28" s="119"/>
      <c r="C28" s="73"/>
      <c r="D28" s="76"/>
      <c r="E28" s="83"/>
      <c r="F28" s="34"/>
    </row>
    <row r="29" spans="1:7" ht="24" customHeight="1" x14ac:dyDescent="0.5">
      <c r="A29" s="126" t="s">
        <v>467</v>
      </c>
      <c r="B29" s="119"/>
      <c r="C29" s="78"/>
      <c r="D29" s="76"/>
      <c r="E29" s="34"/>
      <c r="F29" s="34"/>
    </row>
    <row r="30" spans="1:7" ht="24" customHeight="1" x14ac:dyDescent="0.5">
      <c r="A30" s="122"/>
      <c r="B30" s="421"/>
      <c r="C30" s="99"/>
      <c r="D30" s="115"/>
      <c r="E30" s="422"/>
      <c r="F30" s="423"/>
    </row>
    <row r="31" spans="1:7" ht="24" customHeight="1" x14ac:dyDescent="0.5">
      <c r="A31" s="89"/>
      <c r="B31" s="89"/>
      <c r="C31" s="89"/>
      <c r="D31" s="90"/>
      <c r="E31" s="409">
        <f>SUM(E6:E30)</f>
        <v>4344642.41</v>
      </c>
      <c r="F31" s="424">
        <f>SUM(F6:F30)</f>
        <v>4344642.41</v>
      </c>
      <c r="G31" s="108">
        <f>E31-F31</f>
        <v>0</v>
      </c>
    </row>
    <row r="32" spans="1:7" ht="24" customHeight="1" x14ac:dyDescent="0.5">
      <c r="A32" s="98" t="s">
        <v>108</v>
      </c>
      <c r="B32" s="12" t="s">
        <v>155</v>
      </c>
      <c r="D32" s="51" t="str">
        <f>ใบผ่าน1!D36</f>
        <v>มีนาคม</v>
      </c>
      <c r="E32" s="52" t="s">
        <v>112</v>
      </c>
    </row>
    <row r="33" spans="1:6" ht="24" customHeight="1" x14ac:dyDescent="0.5">
      <c r="A33" s="99"/>
      <c r="B33" s="99"/>
      <c r="C33" s="99"/>
      <c r="D33" s="99"/>
      <c r="E33" s="191"/>
      <c r="F33" s="191"/>
    </row>
    <row r="34" spans="1:6" ht="24" customHeight="1" x14ac:dyDescent="0.5">
      <c r="A34" s="100" t="s">
        <v>63</v>
      </c>
      <c r="B34" s="89"/>
      <c r="C34" s="100" t="s">
        <v>109</v>
      </c>
      <c r="D34" s="101"/>
      <c r="E34" s="410" t="s">
        <v>110</v>
      </c>
      <c r="F34" s="411"/>
    </row>
    <row r="35" spans="1:6" ht="18.75" customHeight="1" x14ac:dyDescent="0.5">
      <c r="A35" s="102"/>
      <c r="B35" s="95"/>
      <c r="C35" s="102"/>
      <c r="D35" s="103"/>
      <c r="E35" s="412"/>
      <c r="F35" s="413"/>
    </row>
    <row r="36" spans="1:6" ht="24" customHeight="1" x14ac:dyDescent="0.5">
      <c r="A36" s="473" t="s">
        <v>149</v>
      </c>
      <c r="B36" s="478"/>
      <c r="C36" s="473" t="s">
        <v>149</v>
      </c>
      <c r="D36" s="474"/>
      <c r="E36" s="487" t="s">
        <v>149</v>
      </c>
      <c r="F36" s="488"/>
    </row>
    <row r="37" spans="1:6" ht="24" customHeight="1" x14ac:dyDescent="0.5">
      <c r="A37" s="473" t="str">
        <f>ใบผ่าน1!A41</f>
        <v>(นายสงกรานต์  อัครวิจิตร)</v>
      </c>
      <c r="B37" s="478"/>
      <c r="C37" s="473" t="str">
        <f>ใบผ่าน1!C41</f>
        <v>(นายศักดิ์ชัย  มารมย์)</v>
      </c>
      <c r="D37" s="474"/>
      <c r="E37" s="487" t="str">
        <f>A37</f>
        <v>(นายสงกรานต์  อัครวิจิตร)</v>
      </c>
      <c r="F37" s="488"/>
    </row>
    <row r="38" spans="1:6" ht="24" customHeight="1" x14ac:dyDescent="0.5">
      <c r="A38" s="473" t="str">
        <f>ใบผ่าน1!A42</f>
        <v>ผู้อำนวยการกองคลัง</v>
      </c>
      <c r="B38" s="474"/>
      <c r="C38" s="473" t="str">
        <f>ใบผ่าน1!C42</f>
        <v>นายกองค์การบริหารส่วนตำบลสมสนุก</v>
      </c>
      <c r="D38" s="474"/>
      <c r="E38" s="489" t="str">
        <f>ใบผ่าน1!E42</f>
        <v>ผู้อำนวยการกองคลัง</v>
      </c>
      <c r="F38" s="488"/>
    </row>
    <row r="39" spans="1:6" ht="24" customHeight="1" x14ac:dyDescent="0.5">
      <c r="A39" s="479"/>
      <c r="B39" s="479"/>
      <c r="C39" s="476"/>
      <c r="D39" s="477"/>
      <c r="E39" s="484"/>
      <c r="F39" s="485"/>
    </row>
  </sheetData>
  <mergeCells count="14">
    <mergeCell ref="A39:B39"/>
    <mergeCell ref="C39:D39"/>
    <mergeCell ref="E39:F39"/>
    <mergeCell ref="A3:F3"/>
    <mergeCell ref="A5:C5"/>
    <mergeCell ref="A36:B36"/>
    <mergeCell ref="C36:D36"/>
    <mergeCell ref="E36:F36"/>
    <mergeCell ref="A38:B38"/>
    <mergeCell ref="E38:F38"/>
    <mergeCell ref="C38:D38"/>
    <mergeCell ref="A37:B37"/>
    <mergeCell ref="C37:D37"/>
    <mergeCell ref="E37:F37"/>
  </mergeCells>
  <pageMargins left="0.761811024" right="0.511811023622047" top="0.39370078740157499" bottom="0.196850393700787" header="0.31496062992126" footer="0.31496062992126"/>
  <pageSetup paperSize="9" scale="8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2266-4816-4981-9EF0-DF930974EFBE}">
  <dimension ref="A1:R37"/>
  <sheetViews>
    <sheetView zoomScaleNormal="100" workbookViewId="0">
      <selection activeCell="G11" sqref="G11"/>
    </sheetView>
  </sheetViews>
  <sheetFormatPr defaultRowHeight="23.25" x14ac:dyDescent="0.5"/>
  <cols>
    <col min="1" max="2" width="16.5703125" style="12" customWidth="1"/>
    <col min="3" max="3" width="18.28515625" style="12" customWidth="1"/>
    <col min="4" max="4" width="16.5703125" style="12" customWidth="1"/>
    <col min="5" max="5" width="18.42578125" style="52" customWidth="1"/>
    <col min="6" max="6" width="18.5703125" style="52" customWidth="1"/>
    <col min="7" max="7" width="18.5703125" style="55" customWidth="1"/>
    <col min="8" max="16384" width="9.140625" style="55"/>
  </cols>
  <sheetData>
    <row r="1" spans="1:18" x14ac:dyDescent="0.5">
      <c r="E1" s="53" t="s">
        <v>105</v>
      </c>
      <c r="F1" s="404" t="str">
        <f>'ใบผ่าน 3'!F1</f>
        <v>6/63</v>
      </c>
    </row>
    <row r="2" spans="1:18" x14ac:dyDescent="0.5">
      <c r="E2" s="53" t="s">
        <v>58</v>
      </c>
      <c r="F2" s="439">
        <f>+'ใบผ่าน 3'!F2</f>
        <v>242247</v>
      </c>
    </row>
    <row r="3" spans="1:18" ht="29.25" x14ac:dyDescent="0.3">
      <c r="A3" s="472" t="s">
        <v>111</v>
      </c>
      <c r="B3" s="472"/>
      <c r="C3" s="472"/>
      <c r="D3" s="472"/>
      <c r="E3" s="472"/>
      <c r="F3" s="472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29.25" x14ac:dyDescent="0.3">
      <c r="A4" s="57" t="s">
        <v>107</v>
      </c>
      <c r="B4" s="57"/>
      <c r="C4" s="57"/>
      <c r="D4" s="440"/>
      <c r="E4" s="405"/>
      <c r="F4" s="405"/>
    </row>
    <row r="5" spans="1:18" s="61" customFormat="1" x14ac:dyDescent="0.3">
      <c r="A5" s="470" t="s">
        <v>6</v>
      </c>
      <c r="B5" s="471"/>
      <c r="C5" s="486"/>
      <c r="D5" s="59" t="s">
        <v>7</v>
      </c>
      <c r="E5" s="406" t="s">
        <v>95</v>
      </c>
      <c r="F5" s="16" t="s">
        <v>96</v>
      </c>
    </row>
    <row r="6" spans="1:18" s="61" customFormat="1" x14ac:dyDescent="0.3">
      <c r="A6" s="443" t="s">
        <v>452</v>
      </c>
      <c r="B6" s="284"/>
      <c r="C6" s="284"/>
      <c r="D6" s="285"/>
      <c r="E6" s="407">
        <v>0.6</v>
      </c>
      <c r="F6" s="408"/>
    </row>
    <row r="7" spans="1:18" s="61" customFormat="1" x14ac:dyDescent="0.3">
      <c r="A7" s="283"/>
      <c r="B7" s="442" t="s">
        <v>128</v>
      </c>
      <c r="C7" s="418"/>
      <c r="D7" s="441"/>
      <c r="E7" s="419"/>
      <c r="F7" s="146">
        <f>E6</f>
        <v>0.6</v>
      </c>
    </row>
    <row r="8" spans="1:18" s="61" customFormat="1" x14ac:dyDescent="0.3">
      <c r="A8" s="491" t="s">
        <v>453</v>
      </c>
      <c r="B8" s="492"/>
      <c r="C8" s="493"/>
      <c r="D8" s="441"/>
      <c r="E8" s="419"/>
      <c r="F8" s="146"/>
    </row>
    <row r="9" spans="1:18" s="61" customFormat="1" x14ac:dyDescent="0.3">
      <c r="A9" s="283"/>
      <c r="B9" s="284"/>
      <c r="C9" s="418"/>
      <c r="D9" s="441"/>
      <c r="E9" s="419"/>
      <c r="F9" s="146"/>
    </row>
    <row r="10" spans="1:18" s="61" customFormat="1" x14ac:dyDescent="0.3">
      <c r="A10" s="283"/>
      <c r="B10" s="284"/>
      <c r="C10" s="418"/>
      <c r="D10" s="441"/>
      <c r="E10" s="419"/>
      <c r="F10" s="146"/>
    </row>
    <row r="11" spans="1:18" s="61" customFormat="1" x14ac:dyDescent="0.3">
      <c r="A11" s="283"/>
      <c r="B11" s="284"/>
      <c r="C11" s="418"/>
      <c r="D11" s="441"/>
      <c r="E11" s="419"/>
      <c r="F11" s="146"/>
    </row>
    <row r="12" spans="1:18" x14ac:dyDescent="0.5">
      <c r="A12" s="283"/>
      <c r="B12" s="284"/>
      <c r="C12" s="73"/>
      <c r="D12" s="76"/>
      <c r="E12" s="83"/>
      <c r="F12" s="34"/>
    </row>
    <row r="13" spans="1:18" x14ac:dyDescent="0.5">
      <c r="A13" s="283"/>
      <c r="B13" s="284"/>
      <c r="C13" s="73"/>
      <c r="D13" s="76"/>
      <c r="E13" s="83"/>
      <c r="F13" s="34"/>
    </row>
    <row r="14" spans="1:18" x14ac:dyDescent="0.5">
      <c r="A14" s="283"/>
      <c r="B14" s="284"/>
      <c r="C14" s="73"/>
      <c r="D14" s="76"/>
      <c r="E14" s="83"/>
      <c r="F14" s="34"/>
    </row>
    <row r="15" spans="1:18" x14ac:dyDescent="0.5">
      <c r="A15" s="283"/>
      <c r="B15" s="284"/>
      <c r="C15" s="78"/>
      <c r="D15" s="76"/>
      <c r="E15" s="83"/>
      <c r="F15" s="34"/>
    </row>
    <row r="16" spans="1:18" x14ac:dyDescent="0.5">
      <c r="A16" s="283"/>
      <c r="B16" s="284"/>
      <c r="C16" s="78"/>
      <c r="D16" s="76"/>
      <c r="E16" s="83"/>
      <c r="F16" s="34"/>
    </row>
    <row r="17" spans="1:7" x14ac:dyDescent="0.5">
      <c r="A17" s="283"/>
      <c r="B17" s="284"/>
      <c r="C17" s="78"/>
      <c r="D17" s="76"/>
      <c r="E17" s="83"/>
      <c r="F17" s="34"/>
    </row>
    <row r="18" spans="1:7" x14ac:dyDescent="0.5">
      <c r="A18" s="283"/>
      <c r="B18" s="284"/>
      <c r="C18" s="73"/>
      <c r="D18" s="76"/>
      <c r="E18" s="83"/>
      <c r="F18" s="34"/>
    </row>
    <row r="19" spans="1:7" x14ac:dyDescent="0.5">
      <c r="A19" s="283"/>
      <c r="B19" s="284"/>
      <c r="C19" s="73"/>
      <c r="D19" s="76"/>
      <c r="E19" s="83"/>
      <c r="F19" s="34"/>
    </row>
    <row r="20" spans="1:7" x14ac:dyDescent="0.5">
      <c r="A20" s="283"/>
      <c r="B20" s="284"/>
      <c r="C20" s="78"/>
      <c r="D20" s="76"/>
      <c r="E20" s="83"/>
      <c r="F20" s="34"/>
    </row>
    <row r="21" spans="1:7" x14ac:dyDescent="0.5">
      <c r="A21" s="283"/>
      <c r="B21" s="284"/>
      <c r="C21" s="78"/>
      <c r="D21" s="76"/>
      <c r="E21" s="83"/>
      <c r="F21" s="34"/>
    </row>
    <row r="22" spans="1:7" x14ac:dyDescent="0.5">
      <c r="A22" s="283"/>
      <c r="B22" s="284"/>
      <c r="C22" s="73"/>
      <c r="D22" s="76"/>
      <c r="E22" s="83"/>
      <c r="F22" s="34"/>
    </row>
    <row r="23" spans="1:7" x14ac:dyDescent="0.5">
      <c r="A23" s="283"/>
      <c r="B23" s="284"/>
      <c r="C23" s="78"/>
      <c r="D23" s="76"/>
      <c r="E23" s="34"/>
      <c r="F23" s="34"/>
    </row>
    <row r="24" spans="1:7" x14ac:dyDescent="0.5">
      <c r="A24" s="283"/>
      <c r="B24" s="284"/>
      <c r="C24" s="78"/>
      <c r="D24" s="76"/>
      <c r="E24" s="34"/>
      <c r="F24" s="34"/>
    </row>
    <row r="25" spans="1:7" x14ac:dyDescent="0.5">
      <c r="A25" s="126"/>
      <c r="B25" s="119"/>
      <c r="C25" s="78"/>
      <c r="D25" s="76"/>
      <c r="E25" s="34"/>
      <c r="F25" s="34"/>
    </row>
    <row r="26" spans="1:7" x14ac:dyDescent="0.5">
      <c r="A26" s="126"/>
      <c r="B26" s="119"/>
      <c r="C26" s="78"/>
      <c r="D26" s="76"/>
      <c r="E26" s="34"/>
      <c r="F26" s="34"/>
    </row>
    <row r="27" spans="1:7" x14ac:dyDescent="0.5">
      <c r="A27" s="122"/>
      <c r="B27" s="421"/>
      <c r="C27" s="99"/>
      <c r="D27" s="115"/>
      <c r="E27" s="422"/>
      <c r="F27" s="423"/>
    </row>
    <row r="28" spans="1:7" x14ac:dyDescent="0.5">
      <c r="A28" s="89"/>
      <c r="B28" s="89"/>
      <c r="C28" s="89"/>
      <c r="D28" s="90"/>
      <c r="E28" s="409">
        <f>SUM(E6:E27)</f>
        <v>0.6</v>
      </c>
      <c r="F28" s="424">
        <f>SUM(F6:F27)</f>
        <v>0.6</v>
      </c>
      <c r="G28" s="108">
        <f>E28-F28</f>
        <v>0</v>
      </c>
    </row>
    <row r="29" spans="1:7" x14ac:dyDescent="0.5">
      <c r="A29" s="95"/>
      <c r="B29" s="95"/>
      <c r="C29" s="95"/>
      <c r="D29" s="96"/>
      <c r="E29" s="117"/>
      <c r="F29" s="117"/>
    </row>
    <row r="30" spans="1:7" x14ac:dyDescent="0.5">
      <c r="A30" s="98" t="s">
        <v>108</v>
      </c>
      <c r="B30" s="12" t="s">
        <v>155</v>
      </c>
      <c r="D30" s="51" t="str">
        <f>ใบผ่าน1!D36</f>
        <v>มีนาคม</v>
      </c>
      <c r="E30" s="52" t="s">
        <v>112</v>
      </c>
    </row>
    <row r="31" spans="1:7" x14ac:dyDescent="0.5">
      <c r="A31" s="99"/>
      <c r="B31" s="99"/>
      <c r="C31" s="99"/>
      <c r="D31" s="99"/>
      <c r="E31" s="191"/>
      <c r="F31" s="191"/>
    </row>
    <row r="32" spans="1:7" x14ac:dyDescent="0.5">
      <c r="A32" s="100" t="s">
        <v>63</v>
      </c>
      <c r="B32" s="89"/>
      <c r="C32" s="100" t="s">
        <v>109</v>
      </c>
      <c r="D32" s="101"/>
      <c r="E32" s="410" t="s">
        <v>110</v>
      </c>
      <c r="F32" s="411"/>
    </row>
    <row r="33" spans="1:6" x14ac:dyDescent="0.5">
      <c r="A33" s="102"/>
      <c r="B33" s="95"/>
      <c r="C33" s="102"/>
      <c r="D33" s="103"/>
      <c r="E33" s="412"/>
      <c r="F33" s="413"/>
    </row>
    <row r="34" spans="1:6" x14ac:dyDescent="0.5">
      <c r="A34" s="473" t="s">
        <v>149</v>
      </c>
      <c r="B34" s="478"/>
      <c r="C34" s="473" t="s">
        <v>149</v>
      </c>
      <c r="D34" s="474"/>
      <c r="E34" s="487" t="s">
        <v>149</v>
      </c>
      <c r="F34" s="488"/>
    </row>
    <row r="35" spans="1:6" x14ac:dyDescent="0.5">
      <c r="A35" s="473" t="str">
        <f>ใบผ่าน1!A41</f>
        <v>(นายสงกรานต์  อัครวิจิตร)</v>
      </c>
      <c r="B35" s="478"/>
      <c r="C35" s="473" t="str">
        <f>ใบผ่าน1!C41</f>
        <v>(นายศักดิ์ชัย  มารมย์)</v>
      </c>
      <c r="D35" s="474"/>
      <c r="E35" s="487" t="str">
        <f>A35</f>
        <v>(นายสงกรานต์  อัครวิจิตร)</v>
      </c>
      <c r="F35" s="488"/>
    </row>
    <row r="36" spans="1:6" x14ac:dyDescent="0.5">
      <c r="A36" s="473" t="str">
        <f>ใบผ่าน1!A42</f>
        <v>ผู้อำนวยการกองคลัง</v>
      </c>
      <c r="B36" s="474"/>
      <c r="C36" s="473" t="str">
        <f>ใบผ่าน1!C42</f>
        <v>นายกองค์การบริหารส่วนตำบลสมสนุก</v>
      </c>
      <c r="D36" s="474"/>
      <c r="E36" s="489" t="str">
        <f>ใบผ่าน1!E42</f>
        <v>ผู้อำนวยการกองคลัง</v>
      </c>
      <c r="F36" s="488"/>
    </row>
    <row r="37" spans="1:6" x14ac:dyDescent="0.5">
      <c r="A37" s="476"/>
      <c r="B37" s="479"/>
      <c r="C37" s="476"/>
      <c r="D37" s="477"/>
      <c r="E37" s="485"/>
      <c r="F37" s="490"/>
    </row>
  </sheetData>
  <mergeCells count="15">
    <mergeCell ref="A35:B35"/>
    <mergeCell ref="C35:D35"/>
    <mergeCell ref="E35:F35"/>
    <mergeCell ref="A8:C8"/>
    <mergeCell ref="A3:F3"/>
    <mergeCell ref="A5:C5"/>
    <mergeCell ref="A34:B34"/>
    <mergeCell ref="C34:D34"/>
    <mergeCell ref="E34:F34"/>
    <mergeCell ref="A36:B36"/>
    <mergeCell ref="C36:D36"/>
    <mergeCell ref="E36:F36"/>
    <mergeCell ref="A37:B37"/>
    <mergeCell ref="C37:D37"/>
    <mergeCell ref="E37:F37"/>
  </mergeCells>
  <pageMargins left="0.761811024" right="0.511811023622047" top="0.39370078740157499" bottom="0.196850393700787" header="0.31496062992126" footer="0.31496062992126"/>
  <pageSetup paperSize="9" scale="8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49C7-DC1C-41EC-9F8D-38B96C96CD11}">
  <dimension ref="A1:R39"/>
  <sheetViews>
    <sheetView topLeftCell="A37" zoomScaleNormal="100" workbookViewId="0">
      <selection activeCell="G45" sqref="G45"/>
    </sheetView>
  </sheetViews>
  <sheetFormatPr defaultRowHeight="22.5" customHeight="1" x14ac:dyDescent="0.5"/>
  <cols>
    <col min="1" max="2" width="16.5703125" style="12" customWidth="1"/>
    <col min="3" max="3" width="18.28515625" style="12" customWidth="1"/>
    <col min="4" max="4" width="16.5703125" style="12" customWidth="1"/>
    <col min="5" max="5" width="18.42578125" style="52" customWidth="1"/>
    <col min="6" max="6" width="18.5703125" style="52" customWidth="1"/>
    <col min="7" max="7" width="18.5703125" style="55" customWidth="1"/>
    <col min="8" max="16384" width="9.140625" style="55"/>
  </cols>
  <sheetData>
    <row r="1" spans="1:18" ht="22.5" customHeight="1" x14ac:dyDescent="0.5">
      <c r="E1" s="53" t="s">
        <v>105</v>
      </c>
      <c r="F1" s="404" t="str">
        <f>'ใบผ่าน 3'!F1</f>
        <v>6/63</v>
      </c>
    </row>
    <row r="2" spans="1:18" ht="22.5" customHeight="1" x14ac:dyDescent="0.5">
      <c r="E2" s="53" t="s">
        <v>58</v>
      </c>
      <c r="F2" s="439">
        <f>+'ใบผ่าน 3'!F2</f>
        <v>242247</v>
      </c>
    </row>
    <row r="3" spans="1:18" ht="22.5" customHeight="1" x14ac:dyDescent="0.3">
      <c r="A3" s="472" t="s">
        <v>111</v>
      </c>
      <c r="B3" s="472"/>
      <c r="C3" s="472"/>
      <c r="D3" s="472"/>
      <c r="E3" s="472"/>
      <c r="F3" s="472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22.5" customHeight="1" x14ac:dyDescent="0.3">
      <c r="A4" s="57" t="s">
        <v>107</v>
      </c>
      <c r="B4" s="57"/>
      <c r="C4" s="57"/>
      <c r="D4" s="440"/>
      <c r="E4" s="405"/>
      <c r="F4" s="405"/>
    </row>
    <row r="5" spans="1:18" s="61" customFormat="1" ht="22.5" customHeight="1" x14ac:dyDescent="0.3">
      <c r="A5" s="470" t="s">
        <v>6</v>
      </c>
      <c r="B5" s="471"/>
      <c r="C5" s="486"/>
      <c r="D5" s="59" t="s">
        <v>7</v>
      </c>
      <c r="E5" s="406" t="s">
        <v>95</v>
      </c>
      <c r="F5" s="16" t="s">
        <v>96</v>
      </c>
    </row>
    <row r="6" spans="1:18" ht="22.5" customHeight="1" x14ac:dyDescent="0.5">
      <c r="A6" s="126" t="s">
        <v>458</v>
      </c>
      <c r="B6" s="119"/>
      <c r="C6" s="73"/>
      <c r="D6" s="76"/>
      <c r="E6" s="83">
        <v>571400</v>
      </c>
      <c r="F6" s="34"/>
    </row>
    <row r="7" spans="1:18" ht="22.5" customHeight="1" x14ac:dyDescent="0.5">
      <c r="A7" s="24"/>
      <c r="B7" s="120" t="s">
        <v>97</v>
      </c>
      <c r="C7" s="78"/>
      <c r="D7" s="76"/>
      <c r="E7" s="83"/>
      <c r="F7" s="34">
        <f>+E6</f>
        <v>571400</v>
      </c>
    </row>
    <row r="8" spans="1:18" ht="22.5" customHeight="1" x14ac:dyDescent="0.5">
      <c r="A8" s="449" t="s">
        <v>459</v>
      </c>
      <c r="B8" s="120"/>
      <c r="C8" s="78"/>
      <c r="D8" s="76"/>
      <c r="E8" s="83"/>
      <c r="F8" s="34"/>
    </row>
    <row r="9" spans="1:18" ht="22.5" customHeight="1" x14ac:dyDescent="0.5">
      <c r="A9" s="449"/>
      <c r="B9" s="120"/>
      <c r="C9" s="73"/>
      <c r="D9" s="76"/>
      <c r="E9" s="83"/>
      <c r="F9" s="34"/>
    </row>
    <row r="10" spans="1:18" ht="22.5" customHeight="1" x14ac:dyDescent="0.5">
      <c r="A10" s="126" t="s">
        <v>25</v>
      </c>
      <c r="B10" s="119"/>
      <c r="C10" s="73"/>
      <c r="D10" s="76"/>
      <c r="E10" s="83">
        <v>571400</v>
      </c>
      <c r="F10" s="34"/>
    </row>
    <row r="11" spans="1:18" ht="22.5" customHeight="1" x14ac:dyDescent="0.5">
      <c r="A11" s="126"/>
      <c r="B11" s="119" t="s">
        <v>458</v>
      </c>
      <c r="C11" s="78"/>
      <c r="D11" s="76"/>
      <c r="E11" s="34"/>
      <c r="F11" s="34">
        <f>+E10</f>
        <v>571400</v>
      </c>
    </row>
    <row r="12" spans="1:18" ht="22.5" customHeight="1" x14ac:dyDescent="0.5">
      <c r="A12" s="448" t="s">
        <v>460</v>
      </c>
      <c r="B12" s="120"/>
      <c r="C12" s="78"/>
      <c r="D12" s="76"/>
      <c r="E12" s="34"/>
      <c r="F12" s="34"/>
    </row>
    <row r="13" spans="1:18" ht="22.5" customHeight="1" x14ac:dyDescent="0.5">
      <c r="A13" s="127"/>
      <c r="B13" s="120"/>
      <c r="C13" s="78"/>
      <c r="D13" s="76"/>
      <c r="E13" s="34"/>
      <c r="F13" s="34"/>
    </row>
    <row r="14" spans="1:18" ht="22.5" customHeight="1" x14ac:dyDescent="0.5">
      <c r="A14" s="126"/>
      <c r="B14" s="119"/>
      <c r="C14" s="78"/>
      <c r="D14" s="76"/>
      <c r="E14" s="34"/>
      <c r="F14" s="34"/>
    </row>
    <row r="15" spans="1:18" ht="22.5" customHeight="1" x14ac:dyDescent="0.5">
      <c r="A15" s="126"/>
      <c r="B15" s="119"/>
      <c r="C15" s="73"/>
      <c r="D15" s="76"/>
      <c r="E15" s="83"/>
      <c r="F15" s="34"/>
    </row>
    <row r="16" spans="1:18" ht="22.5" customHeight="1" x14ac:dyDescent="0.5">
      <c r="A16" s="126"/>
      <c r="B16" s="119"/>
      <c r="C16" s="78"/>
      <c r="D16" s="76"/>
      <c r="E16" s="34"/>
      <c r="F16" s="34"/>
    </row>
    <row r="17" spans="1:7" ht="22.5" customHeight="1" x14ac:dyDescent="0.5">
      <c r="A17" s="126"/>
      <c r="B17" s="119"/>
      <c r="C17" s="78"/>
      <c r="D17" s="76"/>
      <c r="E17" s="34"/>
      <c r="F17" s="34"/>
    </row>
    <row r="18" spans="1:7" ht="22.5" customHeight="1" x14ac:dyDescent="0.5">
      <c r="A18" s="24"/>
      <c r="B18" s="120"/>
      <c r="C18" s="78"/>
      <c r="D18" s="76"/>
      <c r="E18" s="34"/>
      <c r="F18" s="34"/>
    </row>
    <row r="19" spans="1:7" ht="22.5" customHeight="1" x14ac:dyDescent="0.5">
      <c r="A19" s="24"/>
      <c r="B19" s="120"/>
      <c r="C19" s="78"/>
      <c r="D19" s="76"/>
      <c r="E19" s="34"/>
      <c r="F19" s="34"/>
    </row>
    <row r="20" spans="1:7" ht="22.5" customHeight="1" x14ac:dyDescent="0.5">
      <c r="A20" s="24"/>
      <c r="B20" s="120"/>
      <c r="C20" s="78"/>
      <c r="D20" s="76"/>
      <c r="E20" s="34"/>
      <c r="F20" s="34"/>
    </row>
    <row r="21" spans="1:7" ht="22.5" customHeight="1" x14ac:dyDescent="0.5">
      <c r="A21" s="24"/>
      <c r="B21" s="120"/>
      <c r="C21" s="78"/>
      <c r="D21" s="76"/>
      <c r="E21" s="34"/>
      <c r="F21" s="34"/>
    </row>
    <row r="22" spans="1:7" ht="22.5" customHeight="1" x14ac:dyDescent="0.5">
      <c r="A22" s="24"/>
      <c r="B22" s="120"/>
      <c r="C22" s="78"/>
      <c r="D22" s="76"/>
      <c r="E22" s="34"/>
      <c r="F22" s="34"/>
    </row>
    <row r="23" spans="1:7" ht="22.5" customHeight="1" x14ac:dyDescent="0.5">
      <c r="A23" s="24"/>
      <c r="B23" s="120"/>
      <c r="C23" s="78"/>
      <c r="D23" s="76"/>
      <c r="E23" s="34"/>
      <c r="F23" s="34"/>
    </row>
    <row r="24" spans="1:7" ht="22.5" customHeight="1" x14ac:dyDescent="0.5">
      <c r="A24" s="24"/>
      <c r="B24" s="120"/>
      <c r="C24" s="78"/>
      <c r="D24" s="76"/>
      <c r="E24" s="34"/>
      <c r="F24" s="34"/>
    </row>
    <row r="25" spans="1:7" ht="22.5" customHeight="1" x14ac:dyDescent="0.5">
      <c r="A25" s="24"/>
      <c r="B25" s="120"/>
      <c r="C25" s="78"/>
      <c r="D25" s="76"/>
      <c r="E25" s="34"/>
      <c r="F25" s="34"/>
    </row>
    <row r="26" spans="1:7" ht="22.5" customHeight="1" x14ac:dyDescent="0.5">
      <c r="A26" s="24"/>
      <c r="B26" s="120"/>
      <c r="C26" s="78"/>
      <c r="D26" s="76"/>
      <c r="E26" s="34"/>
      <c r="F26" s="34"/>
    </row>
    <row r="27" spans="1:7" ht="22.5" customHeight="1" x14ac:dyDescent="0.5">
      <c r="A27" s="127"/>
      <c r="B27" s="120"/>
      <c r="C27" s="78"/>
      <c r="D27" s="76"/>
      <c r="E27" s="34"/>
      <c r="F27" s="34"/>
    </row>
    <row r="28" spans="1:7" ht="22.5" customHeight="1" x14ac:dyDescent="0.5">
      <c r="A28" s="126"/>
      <c r="B28" s="119"/>
      <c r="C28" s="78"/>
      <c r="D28" s="76"/>
      <c r="E28" s="34"/>
      <c r="F28" s="34"/>
    </row>
    <row r="29" spans="1:7" ht="22.5" customHeight="1" x14ac:dyDescent="0.5">
      <c r="A29" s="464"/>
      <c r="B29" s="421"/>
      <c r="C29" s="99"/>
      <c r="D29" s="115"/>
      <c r="E29" s="422"/>
      <c r="F29" s="423"/>
    </row>
    <row r="30" spans="1:7" ht="22.5" customHeight="1" x14ac:dyDescent="0.5">
      <c r="A30" s="89"/>
      <c r="B30" s="89"/>
      <c r="C30" s="89"/>
      <c r="D30" s="90"/>
      <c r="E30" s="409">
        <f>SUM(E6:E29)</f>
        <v>1142800</v>
      </c>
      <c r="F30" s="424">
        <f>SUM(F6:F29)</f>
        <v>1142800</v>
      </c>
      <c r="G30" s="108">
        <f>E30-F30</f>
        <v>0</v>
      </c>
    </row>
    <row r="31" spans="1:7" ht="22.5" customHeight="1" x14ac:dyDescent="0.5">
      <c r="A31" s="95"/>
      <c r="B31" s="95"/>
      <c r="C31" s="95"/>
      <c r="D31" s="96"/>
      <c r="E31" s="117"/>
      <c r="F31" s="117"/>
    </row>
    <row r="32" spans="1:7" ht="22.5" customHeight="1" x14ac:dyDescent="0.5">
      <c r="A32" s="98" t="s">
        <v>108</v>
      </c>
      <c r="B32" s="12" t="s">
        <v>155</v>
      </c>
      <c r="D32" s="51" t="str">
        <f>ใบผ่าน1!D36</f>
        <v>มีนาคม</v>
      </c>
      <c r="E32" s="52" t="s">
        <v>112</v>
      </c>
    </row>
    <row r="33" spans="1:6" ht="22.5" customHeight="1" x14ac:dyDescent="0.5">
      <c r="A33" s="99"/>
      <c r="B33" s="99"/>
      <c r="C33" s="99"/>
      <c r="D33" s="99"/>
      <c r="E33" s="191"/>
      <c r="F33" s="191"/>
    </row>
    <row r="34" spans="1:6" ht="22.5" customHeight="1" x14ac:dyDescent="0.5">
      <c r="A34" s="100" t="s">
        <v>63</v>
      </c>
      <c r="B34" s="89"/>
      <c r="C34" s="100" t="s">
        <v>109</v>
      </c>
      <c r="D34" s="101"/>
      <c r="E34" s="410" t="s">
        <v>110</v>
      </c>
      <c r="F34" s="411"/>
    </row>
    <row r="35" spans="1:6" ht="22.5" customHeight="1" x14ac:dyDescent="0.5">
      <c r="A35" s="102"/>
      <c r="B35" s="95"/>
      <c r="C35" s="102"/>
      <c r="D35" s="103"/>
      <c r="E35" s="412"/>
      <c r="F35" s="413"/>
    </row>
    <row r="36" spans="1:6" ht="22.5" customHeight="1" x14ac:dyDescent="0.5">
      <c r="A36" s="473" t="s">
        <v>149</v>
      </c>
      <c r="B36" s="478"/>
      <c r="C36" s="473" t="s">
        <v>149</v>
      </c>
      <c r="D36" s="474"/>
      <c r="E36" s="487" t="s">
        <v>149</v>
      </c>
      <c r="F36" s="488"/>
    </row>
    <row r="37" spans="1:6" ht="22.5" customHeight="1" x14ac:dyDescent="0.5">
      <c r="A37" s="473" t="str">
        <f>ใบผ่าน1!A41</f>
        <v>(นายสงกรานต์  อัครวิจิตร)</v>
      </c>
      <c r="B37" s="478"/>
      <c r="C37" s="473" t="str">
        <f>ใบผ่าน1!C41</f>
        <v>(นายศักดิ์ชัย  มารมย์)</v>
      </c>
      <c r="D37" s="474"/>
      <c r="E37" s="487" t="str">
        <f>A37</f>
        <v>(นายสงกรานต์  อัครวิจิตร)</v>
      </c>
      <c r="F37" s="488"/>
    </row>
    <row r="38" spans="1:6" ht="22.5" customHeight="1" x14ac:dyDescent="0.5">
      <c r="A38" s="473" t="str">
        <f>ใบผ่าน1!A42</f>
        <v>ผู้อำนวยการกองคลัง</v>
      </c>
      <c r="B38" s="474"/>
      <c r="C38" s="473" t="str">
        <f>ใบผ่าน1!C42</f>
        <v>นายกองค์การบริหารส่วนตำบลสมสนุก</v>
      </c>
      <c r="D38" s="474"/>
      <c r="E38" s="489" t="str">
        <f>ใบผ่าน1!E42</f>
        <v>ผู้อำนวยการกองคลัง</v>
      </c>
      <c r="F38" s="488"/>
    </row>
    <row r="39" spans="1:6" ht="22.5" customHeight="1" x14ac:dyDescent="0.5">
      <c r="A39" s="476"/>
      <c r="B39" s="479"/>
      <c r="C39" s="476"/>
      <c r="D39" s="477"/>
      <c r="E39" s="485"/>
      <c r="F39" s="490"/>
    </row>
  </sheetData>
  <mergeCells count="14">
    <mergeCell ref="A37:B37"/>
    <mergeCell ref="C37:D37"/>
    <mergeCell ref="E37:F37"/>
    <mergeCell ref="A3:F3"/>
    <mergeCell ref="A5:C5"/>
    <mergeCell ref="A36:B36"/>
    <mergeCell ref="C36:D36"/>
    <mergeCell ref="E36:F36"/>
    <mergeCell ref="A38:B38"/>
    <mergeCell ref="C38:D38"/>
    <mergeCell ref="E38:F38"/>
    <mergeCell ref="A39:B39"/>
    <mergeCell ref="C39:D39"/>
    <mergeCell ref="E39:F39"/>
  </mergeCells>
  <pageMargins left="0.761811024" right="0.511811023622047" top="0.39370078740157499" bottom="0.196850393700787" header="0.31496062992126" footer="0.31496062992126"/>
  <pageSetup paperSize="9" scale="8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topLeftCell="A7" zoomScaleNormal="100" workbookViewId="0">
      <selection activeCell="H4" sqref="H4"/>
    </sheetView>
  </sheetViews>
  <sheetFormatPr defaultRowHeight="23.25" x14ac:dyDescent="0.5"/>
  <cols>
    <col min="1" max="1" width="17.85546875" style="12" customWidth="1"/>
    <col min="2" max="2" width="20.7109375" style="12" customWidth="1"/>
    <col min="3" max="3" width="17.85546875" style="12" customWidth="1"/>
    <col min="4" max="4" width="17.85546875" style="51" customWidth="1"/>
    <col min="5" max="6" width="17.85546875" style="12" customWidth="1"/>
    <col min="7" max="16384" width="9.140625" style="12"/>
  </cols>
  <sheetData>
    <row r="1" spans="1:9" x14ac:dyDescent="0.5">
      <c r="F1" s="128" t="s">
        <v>172</v>
      </c>
    </row>
    <row r="2" spans="1:9" x14ac:dyDescent="0.5">
      <c r="A2" s="497" t="s">
        <v>0</v>
      </c>
      <c r="B2" s="497"/>
      <c r="C2" s="497"/>
      <c r="D2" s="497"/>
      <c r="E2" s="497"/>
      <c r="F2" s="497"/>
    </row>
    <row r="3" spans="1:9" x14ac:dyDescent="0.5">
      <c r="A3" s="497" t="s">
        <v>171</v>
      </c>
      <c r="B3" s="497"/>
      <c r="C3" s="497"/>
      <c r="D3" s="497"/>
      <c r="E3" s="497"/>
      <c r="F3" s="497"/>
    </row>
    <row r="4" spans="1:9" x14ac:dyDescent="0.5">
      <c r="A4" s="497" t="s">
        <v>470</v>
      </c>
      <c r="B4" s="497"/>
      <c r="C4" s="497"/>
      <c r="D4" s="497"/>
      <c r="E4" s="497"/>
      <c r="F4" s="497"/>
    </row>
    <row r="5" spans="1:9" s="129" customFormat="1" ht="29.25" customHeight="1" x14ac:dyDescent="0.2">
      <c r="A5" s="470" t="s">
        <v>6</v>
      </c>
      <c r="B5" s="486"/>
      <c r="C5" s="59" t="s">
        <v>9</v>
      </c>
      <c r="D5" s="15" t="s">
        <v>42</v>
      </c>
      <c r="E5" s="59" t="s">
        <v>43</v>
      </c>
      <c r="F5" s="59" t="s">
        <v>44</v>
      </c>
    </row>
    <row r="6" spans="1:9" x14ac:dyDescent="0.5">
      <c r="A6" s="498" t="s">
        <v>45</v>
      </c>
      <c r="B6" s="499"/>
      <c r="C6" s="38">
        <v>8155.5500000000011</v>
      </c>
      <c r="D6" s="37">
        <f>'ใบผ่าน 2'!F49+ใบผ่าน1!F25</f>
        <v>8619.58</v>
      </c>
      <c r="E6" s="38">
        <f>'ใบผ่าน 2'!E26</f>
        <v>8149.75</v>
      </c>
      <c r="F6" s="38">
        <f>C6+D6-E6</f>
        <v>8625.380000000001</v>
      </c>
    </row>
    <row r="7" spans="1:9" ht="24" customHeight="1" x14ac:dyDescent="0.5">
      <c r="A7" s="480" t="s">
        <v>47</v>
      </c>
      <c r="B7" s="494"/>
      <c r="C7" s="26">
        <v>26376.2</v>
      </c>
      <c r="D7" s="40">
        <f>ใบผ่าน1!F16</f>
        <v>0</v>
      </c>
      <c r="E7" s="26">
        <f>'ใบผ่าน 2'!E28</f>
        <v>0</v>
      </c>
      <c r="F7" s="26">
        <f t="shared" ref="F7:F17" si="0">C7+D7-E7</f>
        <v>26376.2</v>
      </c>
    </row>
    <row r="8" spans="1:9" x14ac:dyDescent="0.5">
      <c r="A8" s="480" t="s">
        <v>48</v>
      </c>
      <c r="B8" s="494"/>
      <c r="C8" s="26">
        <v>16112.86</v>
      </c>
      <c r="D8" s="40">
        <f>ใบผ่าน1!F17</f>
        <v>0</v>
      </c>
      <c r="E8" s="26">
        <f>'ใบผ่าน 2'!E29</f>
        <v>0</v>
      </c>
      <c r="F8" s="26">
        <f t="shared" si="0"/>
        <v>16112.86</v>
      </c>
    </row>
    <row r="9" spans="1:9" x14ac:dyDescent="0.5">
      <c r="A9" s="480" t="s">
        <v>46</v>
      </c>
      <c r="B9" s="494"/>
      <c r="C9" s="26">
        <v>332525</v>
      </c>
      <c r="D9" s="40">
        <f>ใบผ่าน1!F19</f>
        <v>0</v>
      </c>
      <c r="E9" s="26">
        <f>'ใบผ่าน 2'!E27</f>
        <v>0</v>
      </c>
      <c r="F9" s="26">
        <f>C9+D9-E9</f>
        <v>332525</v>
      </c>
    </row>
    <row r="10" spans="1:9" x14ac:dyDescent="0.5">
      <c r="A10" s="46" t="s">
        <v>211</v>
      </c>
      <c r="B10" s="130"/>
      <c r="C10" s="26">
        <v>25882</v>
      </c>
      <c r="D10" s="40">
        <f>'ใบผ่าน 2'!F50</f>
        <v>15844</v>
      </c>
      <c r="E10" s="26">
        <f>'ใบผ่าน 2'!E35</f>
        <v>19810</v>
      </c>
      <c r="F10" s="26">
        <f>C10+D10-E10</f>
        <v>21916</v>
      </c>
      <c r="I10" s="43"/>
    </row>
    <row r="11" spans="1:9" x14ac:dyDescent="0.5">
      <c r="A11" s="467" t="s">
        <v>476</v>
      </c>
      <c r="B11" s="468"/>
      <c r="C11" s="26">
        <v>0</v>
      </c>
      <c r="D11" s="40">
        <f>+'ใบผ่าน 2'!F55</f>
        <v>5420</v>
      </c>
      <c r="E11" s="26">
        <f>+'ใบผ่าน 2'!E43</f>
        <v>5420</v>
      </c>
      <c r="F11" s="26">
        <f>+D11-E11</f>
        <v>0</v>
      </c>
      <c r="I11" s="43"/>
    </row>
    <row r="12" spans="1:9" x14ac:dyDescent="0.5">
      <c r="A12" s="445" t="s">
        <v>457</v>
      </c>
      <c r="B12" s="446"/>
      <c r="C12" s="26">
        <v>499800</v>
      </c>
      <c r="D12" s="40">
        <f>+ใบผ่าน1!F20</f>
        <v>0</v>
      </c>
      <c r="E12" s="26">
        <v>0</v>
      </c>
      <c r="F12" s="26">
        <f>C12+D12-E12</f>
        <v>499800</v>
      </c>
      <c r="I12" s="43"/>
    </row>
    <row r="13" spans="1:9" x14ac:dyDescent="0.5">
      <c r="A13" s="480" t="s">
        <v>130</v>
      </c>
      <c r="B13" s="494"/>
      <c r="C13" s="26">
        <v>912403.38</v>
      </c>
      <c r="D13" s="40">
        <f>ใบผ่าน1!F26</f>
        <v>0</v>
      </c>
      <c r="E13" s="26">
        <f>'ใบผ่าน 2'!E34</f>
        <v>0</v>
      </c>
      <c r="F13" s="26">
        <f t="shared" si="0"/>
        <v>912403.38</v>
      </c>
      <c r="I13" s="43"/>
    </row>
    <row r="14" spans="1:9" x14ac:dyDescent="0.5">
      <c r="A14" s="131" t="s">
        <v>281</v>
      </c>
      <c r="B14" s="132"/>
      <c r="C14" s="26">
        <v>5260</v>
      </c>
      <c r="D14" s="41">
        <f>ใบผ่าน1!F23</f>
        <v>0</v>
      </c>
      <c r="E14" s="33">
        <f>'ใบผ่าน 2'!E36</f>
        <v>0</v>
      </c>
      <c r="F14" s="26">
        <f t="shared" si="0"/>
        <v>5260</v>
      </c>
      <c r="I14" s="43"/>
    </row>
    <row r="15" spans="1:9" x14ac:dyDescent="0.5">
      <c r="A15" s="131" t="s">
        <v>282</v>
      </c>
      <c r="B15" s="132"/>
      <c r="C15" s="26">
        <v>7728</v>
      </c>
      <c r="D15" s="41"/>
      <c r="E15" s="33"/>
      <c r="F15" s="26">
        <f t="shared" si="0"/>
        <v>7728</v>
      </c>
      <c r="I15" s="43"/>
    </row>
    <row r="16" spans="1:9" x14ac:dyDescent="0.5">
      <c r="A16" s="46" t="s">
        <v>441</v>
      </c>
      <c r="B16" s="130"/>
      <c r="C16" s="26">
        <v>388768</v>
      </c>
      <c r="D16" s="40">
        <f>ใบผ่าน1!F24</f>
        <v>0</v>
      </c>
      <c r="E16" s="26"/>
      <c r="F16" s="26">
        <f t="shared" si="0"/>
        <v>388768</v>
      </c>
      <c r="I16" s="43"/>
    </row>
    <row r="17" spans="1:9" x14ac:dyDescent="0.5">
      <c r="A17" s="131" t="s">
        <v>330</v>
      </c>
      <c r="B17" s="132"/>
      <c r="C17" s="33">
        <v>1622.29</v>
      </c>
      <c r="D17" s="41">
        <f>ใบผ่าน1!F32</f>
        <v>0</v>
      </c>
      <c r="E17" s="33">
        <f>'ใบผ่าน 2'!E41</f>
        <v>0</v>
      </c>
      <c r="F17" s="26">
        <f t="shared" si="0"/>
        <v>1622.29</v>
      </c>
      <c r="I17" s="43"/>
    </row>
    <row r="18" spans="1:9" s="43" customFormat="1" x14ac:dyDescent="0.5">
      <c r="A18" s="495" t="s">
        <v>37</v>
      </c>
      <c r="B18" s="496"/>
      <c r="C18" s="133">
        <f>SUM(C6:C17)</f>
        <v>2224633.2800000003</v>
      </c>
      <c r="D18" s="133">
        <f>SUM(D6:D17)</f>
        <v>29883.58</v>
      </c>
      <c r="E18" s="133">
        <f>SUM(E6:E17)</f>
        <v>33379.75</v>
      </c>
      <c r="F18" s="133">
        <f>SUM(F6:F17)</f>
        <v>2221137.11</v>
      </c>
    </row>
    <row r="19" spans="1:9" s="43" customFormat="1" x14ac:dyDescent="0.5">
      <c r="A19" s="13"/>
      <c r="B19" s="13"/>
      <c r="C19" s="134"/>
      <c r="D19" s="134"/>
      <c r="E19" s="134"/>
      <c r="F19" s="134"/>
    </row>
    <row r="20" spans="1:9" s="43" customFormat="1" x14ac:dyDescent="0.5">
      <c r="A20" s="13"/>
      <c r="B20" s="13"/>
      <c r="C20" s="134"/>
      <c r="D20" s="134"/>
      <c r="E20" s="134"/>
      <c r="F20" s="134"/>
    </row>
    <row r="21" spans="1:9" s="43" customFormat="1" x14ac:dyDescent="0.5">
      <c r="A21" s="13"/>
      <c r="B21" s="13"/>
      <c r="C21" s="134"/>
      <c r="D21" s="134"/>
      <c r="E21" s="134"/>
      <c r="F21" s="134"/>
    </row>
    <row r="22" spans="1:9" s="43" customFormat="1" x14ac:dyDescent="0.5">
      <c r="A22" s="13"/>
      <c r="B22" s="13"/>
      <c r="C22" s="134"/>
      <c r="D22" s="134"/>
      <c r="E22" s="134"/>
      <c r="F22" s="134"/>
    </row>
    <row r="23" spans="1:9" s="43" customFormat="1" x14ac:dyDescent="0.5">
      <c r="A23" s="13"/>
      <c r="B23" s="13"/>
      <c r="C23" s="134"/>
      <c r="D23" s="134"/>
      <c r="E23" s="134"/>
      <c r="F23" s="134"/>
    </row>
    <row r="24" spans="1:9" s="43" customFormat="1" x14ac:dyDescent="0.5">
      <c r="A24" s="13"/>
      <c r="B24" s="13"/>
      <c r="C24" s="134"/>
      <c r="D24" s="134"/>
      <c r="E24" s="134"/>
      <c r="F24" s="134"/>
    </row>
  </sheetData>
  <mergeCells count="10">
    <mergeCell ref="A8:B8"/>
    <mergeCell ref="A13:B13"/>
    <mergeCell ref="A18:B18"/>
    <mergeCell ref="A2:F2"/>
    <mergeCell ref="A3:F3"/>
    <mergeCell ref="A4:F4"/>
    <mergeCell ref="A5:B5"/>
    <mergeCell ref="A6:B6"/>
    <mergeCell ref="A9:B9"/>
    <mergeCell ref="A7:B7"/>
  </mergeCells>
  <phoneticPr fontId="2" type="noConversion"/>
  <printOptions horizontalCentered="1"/>
  <pageMargins left="0.51181102362204722" right="0.15748031496062992" top="0.98425196850393704" bottom="0.35433070866141736" header="0.31496062992125984" footer="0.15748031496062992"/>
  <pageSetup paperSize="9" scale="89" orientation="portrait" horizontalDpi="4294967293" vertic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opLeftCell="A13" zoomScaleNormal="100" workbookViewId="0">
      <selection activeCell="J15" sqref="J15"/>
    </sheetView>
  </sheetViews>
  <sheetFormatPr defaultRowHeight="14.25" x14ac:dyDescent="0.3"/>
  <cols>
    <col min="1" max="1" width="7.28515625" style="55" customWidth="1"/>
    <col min="2" max="2" width="39.140625" style="55" customWidth="1"/>
    <col min="3" max="3" width="14.140625" style="55" customWidth="1"/>
    <col min="4" max="4" width="16" style="55" customWidth="1"/>
    <col min="5" max="5" width="14.28515625" style="55" customWidth="1"/>
    <col min="6" max="7" width="14.7109375" style="55" customWidth="1"/>
    <col min="8" max="8" width="15.28515625" style="55" customWidth="1"/>
    <col min="9" max="16384" width="9.140625" style="55"/>
  </cols>
  <sheetData>
    <row r="1" spans="1:8" ht="24" customHeight="1" x14ac:dyDescent="0.5">
      <c r="A1" s="12"/>
      <c r="B1" s="12"/>
      <c r="C1" s="12"/>
      <c r="D1" s="12"/>
      <c r="E1" s="12"/>
      <c r="F1" s="12"/>
      <c r="G1" s="12"/>
      <c r="H1" s="128" t="s">
        <v>378</v>
      </c>
    </row>
    <row r="2" spans="1:8" ht="24" customHeight="1" x14ac:dyDescent="0.5">
      <c r="A2" s="12"/>
      <c r="B2" s="497" t="s">
        <v>94</v>
      </c>
      <c r="C2" s="497"/>
      <c r="D2" s="497"/>
      <c r="E2" s="497"/>
      <c r="F2" s="497"/>
      <c r="G2" s="497"/>
      <c r="H2" s="497"/>
    </row>
    <row r="3" spans="1:8" ht="24" customHeight="1" x14ac:dyDescent="0.5">
      <c r="A3" s="12"/>
      <c r="B3" s="497" t="s">
        <v>263</v>
      </c>
      <c r="C3" s="497"/>
      <c r="D3" s="497"/>
      <c r="E3" s="497"/>
      <c r="F3" s="497"/>
      <c r="G3" s="497"/>
      <c r="H3" s="497"/>
    </row>
    <row r="4" spans="1:8" ht="24" customHeight="1" x14ac:dyDescent="0.5">
      <c r="A4" s="12"/>
      <c r="B4" s="505" t="str">
        <f>เงินรับฝาก!A4</f>
        <v>ณ  วันที่  31 มีนาคม 2563</v>
      </c>
      <c r="C4" s="505"/>
      <c r="D4" s="505"/>
      <c r="E4" s="505"/>
      <c r="F4" s="505"/>
      <c r="G4" s="505"/>
      <c r="H4" s="505"/>
    </row>
    <row r="5" spans="1:8" ht="24" customHeight="1" x14ac:dyDescent="0.3">
      <c r="A5" s="500" t="s">
        <v>189</v>
      </c>
      <c r="B5" s="500" t="s">
        <v>264</v>
      </c>
      <c r="C5" s="500" t="s">
        <v>265</v>
      </c>
      <c r="D5" s="502" t="s">
        <v>56</v>
      </c>
      <c r="E5" s="503"/>
      <c r="F5" s="500" t="s">
        <v>267</v>
      </c>
      <c r="G5" s="504" t="s">
        <v>44</v>
      </c>
      <c r="H5" s="504" t="s">
        <v>173</v>
      </c>
    </row>
    <row r="6" spans="1:8" ht="24" customHeight="1" x14ac:dyDescent="0.3">
      <c r="A6" s="501"/>
      <c r="B6" s="501"/>
      <c r="C6" s="501"/>
      <c r="D6" s="270" t="s">
        <v>266</v>
      </c>
      <c r="E6" s="270" t="s">
        <v>339</v>
      </c>
      <c r="F6" s="501"/>
      <c r="G6" s="504"/>
      <c r="H6" s="504"/>
    </row>
    <row r="7" spans="1:8" ht="24" customHeight="1" x14ac:dyDescent="0.5">
      <c r="A7" s="44"/>
      <c r="B7" s="402" t="s">
        <v>442</v>
      </c>
      <c r="C7" s="137"/>
      <c r="D7" s="137"/>
      <c r="E7" s="138"/>
      <c r="F7" s="138"/>
      <c r="G7" s="138"/>
      <c r="H7" s="138"/>
    </row>
    <row r="8" spans="1:8" ht="24" customHeight="1" x14ac:dyDescent="0.5">
      <c r="A8" s="29"/>
      <c r="B8" s="139" t="s">
        <v>31</v>
      </c>
      <c r="C8" s="140"/>
      <c r="D8" s="140"/>
      <c r="E8" s="141"/>
      <c r="F8" s="141"/>
      <c r="G8" s="141"/>
      <c r="H8" s="142"/>
    </row>
    <row r="9" spans="1:8" ht="24" customHeight="1" x14ac:dyDescent="0.5">
      <c r="A9" s="143">
        <v>1</v>
      </c>
      <c r="B9" s="390" t="s">
        <v>358</v>
      </c>
      <c r="C9" s="140">
        <v>200000</v>
      </c>
      <c r="D9" s="140"/>
      <c r="E9" s="140">
        <v>200000</v>
      </c>
      <c r="F9" s="145"/>
      <c r="G9" s="140">
        <f>C9-F9</f>
        <v>200000</v>
      </c>
      <c r="H9" s="146"/>
    </row>
    <row r="10" spans="1:8" ht="24" customHeight="1" x14ac:dyDescent="0.5">
      <c r="A10" s="143">
        <v>2</v>
      </c>
      <c r="B10" s="390" t="s">
        <v>359</v>
      </c>
      <c r="C10" s="140">
        <v>300000</v>
      </c>
      <c r="D10" s="140"/>
      <c r="E10" s="140">
        <v>300000</v>
      </c>
      <c r="F10" s="145"/>
      <c r="G10" s="140">
        <f>C10-F10</f>
        <v>300000</v>
      </c>
      <c r="H10" s="146"/>
    </row>
    <row r="11" spans="1:8" ht="24" customHeight="1" x14ac:dyDescent="0.5">
      <c r="A11" s="143">
        <v>3</v>
      </c>
      <c r="B11" s="390" t="s">
        <v>360</v>
      </c>
      <c r="C11" s="140">
        <v>400000</v>
      </c>
      <c r="D11" s="140"/>
      <c r="E11" s="140">
        <v>400000</v>
      </c>
      <c r="F11" s="145"/>
      <c r="G11" s="140">
        <f>C11-F11</f>
        <v>400000</v>
      </c>
      <c r="H11" s="146"/>
    </row>
    <row r="12" spans="1:8" ht="24" customHeight="1" x14ac:dyDescent="0.5">
      <c r="A12" s="150">
        <v>4</v>
      </c>
      <c r="B12" s="399" t="s">
        <v>361</v>
      </c>
      <c r="C12" s="147">
        <v>245000</v>
      </c>
      <c r="D12" s="147">
        <v>245000</v>
      </c>
      <c r="E12" s="147"/>
      <c r="F12" s="145">
        <v>245000</v>
      </c>
      <c r="G12" s="271">
        <f>C12-F12</f>
        <v>0</v>
      </c>
      <c r="H12" s="146"/>
    </row>
    <row r="13" spans="1:8" ht="24" customHeight="1" x14ac:dyDescent="0.5">
      <c r="A13" s="29"/>
      <c r="B13" s="401" t="s">
        <v>443</v>
      </c>
      <c r="C13" s="142"/>
      <c r="D13" s="400"/>
      <c r="E13" s="142"/>
      <c r="F13" s="142"/>
      <c r="G13" s="142"/>
      <c r="H13" s="138"/>
    </row>
    <row r="14" spans="1:8" ht="24" customHeight="1" x14ac:dyDescent="0.5">
      <c r="A14" s="29"/>
      <c r="B14" s="273" t="s">
        <v>31</v>
      </c>
      <c r="C14" s="140"/>
      <c r="D14" s="140"/>
      <c r="E14" s="141"/>
      <c r="F14" s="141"/>
      <c r="G14" s="141"/>
      <c r="H14" s="142"/>
    </row>
    <row r="15" spans="1:8" ht="24" customHeight="1" x14ac:dyDescent="0.5">
      <c r="A15" s="143">
        <v>1</v>
      </c>
      <c r="B15" s="391" t="s">
        <v>365</v>
      </c>
      <c r="C15" s="140">
        <v>1000000</v>
      </c>
      <c r="D15" s="140"/>
      <c r="E15" s="140"/>
      <c r="F15" s="145">
        <v>927500</v>
      </c>
      <c r="G15" s="140">
        <f>C15-F15</f>
        <v>72500</v>
      </c>
      <c r="H15" s="146"/>
    </row>
    <row r="16" spans="1:8" ht="24" customHeight="1" x14ac:dyDescent="0.45">
      <c r="A16" s="274">
        <v>2</v>
      </c>
      <c r="B16" s="392" t="s">
        <v>366</v>
      </c>
      <c r="C16" s="140">
        <v>480000</v>
      </c>
      <c r="D16" s="140"/>
      <c r="E16" s="140"/>
      <c r="F16" s="145"/>
      <c r="G16" s="140">
        <f t="shared" ref="G16:G23" si="0">C16-F16</f>
        <v>480000</v>
      </c>
      <c r="H16" s="146"/>
    </row>
    <row r="17" spans="1:8" ht="23.25" x14ac:dyDescent="0.5">
      <c r="A17" s="143">
        <v>3</v>
      </c>
      <c r="B17" s="391" t="s">
        <v>367</v>
      </c>
      <c r="C17" s="140">
        <v>200000</v>
      </c>
      <c r="D17" s="140"/>
      <c r="E17" s="140"/>
      <c r="F17" s="145">
        <v>199000</v>
      </c>
      <c r="G17" s="140">
        <f t="shared" si="0"/>
        <v>1000</v>
      </c>
      <c r="H17" s="146"/>
    </row>
    <row r="18" spans="1:8" ht="23.25" x14ac:dyDescent="0.5">
      <c r="A18" s="143">
        <v>4</v>
      </c>
      <c r="B18" s="391" t="s">
        <v>372</v>
      </c>
      <c r="C18" s="140">
        <v>200000</v>
      </c>
      <c r="D18" s="140"/>
      <c r="E18" s="140"/>
      <c r="F18" s="145"/>
      <c r="G18" s="140">
        <f t="shared" si="0"/>
        <v>200000</v>
      </c>
      <c r="H18" s="146"/>
    </row>
    <row r="19" spans="1:8" ht="23.25" x14ac:dyDescent="0.5">
      <c r="A19" s="143">
        <v>5</v>
      </c>
      <c r="B19" s="391" t="s">
        <v>368</v>
      </c>
      <c r="C19" s="140">
        <v>200000</v>
      </c>
      <c r="D19" s="140"/>
      <c r="E19" s="140"/>
      <c r="F19" s="145">
        <v>199000</v>
      </c>
      <c r="G19" s="140">
        <f t="shared" si="0"/>
        <v>1000</v>
      </c>
      <c r="H19" s="146"/>
    </row>
    <row r="20" spans="1:8" ht="23.25" x14ac:dyDescent="0.5">
      <c r="A20" s="143">
        <v>6</v>
      </c>
      <c r="B20" s="393" t="s">
        <v>371</v>
      </c>
      <c r="C20" s="140">
        <v>200000</v>
      </c>
      <c r="D20" s="140"/>
      <c r="E20" s="140"/>
      <c r="F20" s="140"/>
      <c r="G20" s="140">
        <f t="shared" si="0"/>
        <v>200000</v>
      </c>
      <c r="H20" s="146"/>
    </row>
    <row r="21" spans="1:8" ht="23.25" x14ac:dyDescent="0.5">
      <c r="A21" s="143">
        <v>7</v>
      </c>
      <c r="B21" s="391" t="s">
        <v>369</v>
      </c>
      <c r="C21" s="140">
        <v>200000</v>
      </c>
      <c r="D21" s="140"/>
      <c r="E21" s="140"/>
      <c r="F21" s="140"/>
      <c r="G21" s="140">
        <f t="shared" si="0"/>
        <v>200000</v>
      </c>
      <c r="H21" s="146"/>
    </row>
    <row r="22" spans="1:8" ht="23.25" x14ac:dyDescent="0.5">
      <c r="A22" s="143">
        <v>8</v>
      </c>
      <c r="B22" s="391" t="s">
        <v>373</v>
      </c>
      <c r="C22" s="147">
        <v>245000</v>
      </c>
      <c r="D22" s="147">
        <v>245000</v>
      </c>
      <c r="E22" s="147"/>
      <c r="F22" s="145">
        <v>245000</v>
      </c>
      <c r="G22" s="140">
        <f t="shared" si="0"/>
        <v>0</v>
      </c>
      <c r="H22" s="146"/>
    </row>
    <row r="23" spans="1:8" ht="23.25" x14ac:dyDescent="0.5">
      <c r="A23" s="150">
        <v>9</v>
      </c>
      <c r="B23" s="394" t="s">
        <v>370</v>
      </c>
      <c r="C23" s="147">
        <v>295000</v>
      </c>
      <c r="D23" s="147">
        <v>295000</v>
      </c>
      <c r="E23" s="147"/>
      <c r="F23" s="145">
        <v>295000</v>
      </c>
      <c r="G23" s="140">
        <f t="shared" si="0"/>
        <v>0</v>
      </c>
      <c r="H23" s="272"/>
    </row>
    <row r="24" spans="1:8" ht="23.25" x14ac:dyDescent="0.5">
      <c r="A24" s="154"/>
      <c r="B24" s="269" t="s">
        <v>37</v>
      </c>
      <c r="C24" s="155">
        <f t="shared" ref="C24:H24" si="1">SUM(C9:C23)</f>
        <v>4165000</v>
      </c>
      <c r="D24" s="155">
        <f t="shared" si="1"/>
        <v>785000</v>
      </c>
      <c r="E24" s="155">
        <f t="shared" si="1"/>
        <v>900000</v>
      </c>
      <c r="F24" s="155">
        <f t="shared" si="1"/>
        <v>2110500</v>
      </c>
      <c r="G24" s="155">
        <f>SUM(G9:G23)</f>
        <v>2054500</v>
      </c>
      <c r="H24" s="155">
        <f t="shared" si="1"/>
        <v>0</v>
      </c>
    </row>
  </sheetData>
  <mergeCells count="10">
    <mergeCell ref="H5:H6"/>
    <mergeCell ref="B2:H2"/>
    <mergeCell ref="B3:H3"/>
    <mergeCell ref="B4:H4"/>
    <mergeCell ref="G5:G6"/>
    <mergeCell ref="A5:A6"/>
    <mergeCell ref="B5:B6"/>
    <mergeCell ref="C5:C6"/>
    <mergeCell ref="D5:E5"/>
    <mergeCell ref="F5:F6"/>
  </mergeCells>
  <pageMargins left="0.84055118100000004" right="0.39370078740157499" top="0.35433070866141703" bottom="0.35433070866141703" header="0.31496062992126" footer="0.31496062992126"/>
  <pageSetup paperSize="9" scale="95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zoomScaleNormal="100" workbookViewId="0">
      <selection activeCell="G6" sqref="G6"/>
    </sheetView>
  </sheetViews>
  <sheetFormatPr defaultRowHeight="23.25" x14ac:dyDescent="0.5"/>
  <cols>
    <col min="1" max="1" width="35.5703125" style="12" customWidth="1"/>
    <col min="2" max="2" width="16.7109375" style="12" hidden="1" customWidth="1"/>
    <col min="3" max="3" width="16.7109375" style="12" customWidth="1"/>
    <col min="4" max="4" width="16.7109375" style="51" customWidth="1"/>
    <col min="5" max="6" width="16.7109375" style="12" customWidth="1"/>
    <col min="7" max="7" width="14.5703125" style="12" customWidth="1"/>
    <col min="8" max="16384" width="9.140625" style="12"/>
  </cols>
  <sheetData>
    <row r="1" spans="1:7" x14ac:dyDescent="0.5">
      <c r="F1" s="128" t="s">
        <v>379</v>
      </c>
    </row>
    <row r="2" spans="1:7" x14ac:dyDescent="0.5">
      <c r="A2" s="497" t="s">
        <v>94</v>
      </c>
      <c r="B2" s="497"/>
      <c r="C2" s="497"/>
      <c r="D2" s="497"/>
      <c r="E2" s="497"/>
      <c r="F2" s="497"/>
    </row>
    <row r="3" spans="1:7" x14ac:dyDescent="0.5">
      <c r="A3" s="497" t="s">
        <v>41</v>
      </c>
      <c r="B3" s="497"/>
      <c r="C3" s="497"/>
      <c r="D3" s="497"/>
      <c r="E3" s="497"/>
      <c r="F3" s="497"/>
    </row>
    <row r="4" spans="1:7" x14ac:dyDescent="0.5">
      <c r="A4" s="497" t="str">
        <f>รายจ่ายค้างจ่าย!B4</f>
        <v>ณ  วันที่  31 มีนาคม 2563</v>
      </c>
      <c r="B4" s="497"/>
      <c r="C4" s="497"/>
      <c r="D4" s="497"/>
      <c r="E4" s="497"/>
      <c r="F4" s="497"/>
    </row>
    <row r="5" spans="1:7" s="159" customFormat="1" ht="42.75" customHeight="1" x14ac:dyDescent="0.2">
      <c r="A5" s="157" t="s">
        <v>6</v>
      </c>
      <c r="B5" s="157" t="s">
        <v>147</v>
      </c>
      <c r="C5" s="157" t="s">
        <v>49</v>
      </c>
      <c r="D5" s="158" t="s">
        <v>42</v>
      </c>
      <c r="E5" s="157" t="s">
        <v>43</v>
      </c>
      <c r="F5" s="157" t="s">
        <v>44</v>
      </c>
    </row>
    <row r="6" spans="1:7" x14ac:dyDescent="0.5">
      <c r="A6" s="44" t="s">
        <v>287</v>
      </c>
      <c r="B6" s="38">
        <v>2748000</v>
      </c>
      <c r="C6" s="38">
        <f>[1]เงินอุดหนุนทั่วไป!$F$6</f>
        <v>3649508</v>
      </c>
      <c r="D6" s="37">
        <f>'ใบผ่าน 3'!F29</f>
        <v>582700</v>
      </c>
      <c r="E6" s="38">
        <v>562600</v>
      </c>
      <c r="F6" s="38">
        <f>C6+D6-E6</f>
        <v>3669608</v>
      </c>
    </row>
    <row r="7" spans="1:7" x14ac:dyDescent="0.5">
      <c r="A7" s="29"/>
      <c r="B7" s="26"/>
      <c r="C7" s="26"/>
      <c r="D7" s="40"/>
      <c r="E7" s="75"/>
      <c r="F7" s="26"/>
      <c r="G7" s="94"/>
    </row>
    <row r="8" spans="1:7" x14ac:dyDescent="0.5">
      <c r="A8" s="161"/>
      <c r="B8" s="160"/>
      <c r="C8" s="33"/>
      <c r="D8" s="41"/>
      <c r="E8" s="33"/>
      <c r="F8" s="26"/>
    </row>
    <row r="9" spans="1:7" x14ac:dyDescent="0.5">
      <c r="A9" s="50" t="s">
        <v>37</v>
      </c>
      <c r="B9" s="162" t="e">
        <f>SUM(#REF!)</f>
        <v>#REF!</v>
      </c>
      <c r="C9" s="133">
        <f>SUM(C6:C8)</f>
        <v>3649508</v>
      </c>
      <c r="D9" s="133">
        <f>SUM(D6:D8)</f>
        <v>582700</v>
      </c>
      <c r="E9" s="133">
        <f>SUM(E6:E8)</f>
        <v>562600</v>
      </c>
      <c r="F9" s="133">
        <f>SUM(F6:F8)</f>
        <v>3669608</v>
      </c>
    </row>
    <row r="10" spans="1:7" x14ac:dyDescent="0.5">
      <c r="E10" s="94"/>
    </row>
  </sheetData>
  <mergeCells count="3">
    <mergeCell ref="A2:F2"/>
    <mergeCell ref="A3:F3"/>
    <mergeCell ref="A4:F4"/>
  </mergeCells>
  <printOptions horizontalCentered="1"/>
  <pageMargins left="0.27559055118110237" right="0.15748031496062992" top="0.9055118110236221" bottom="0.35433070866141736" header="0.31496062992125984" footer="0.15748031496062992"/>
  <pageSetup paperSize="9" scale="9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25</vt:i4>
      </vt:variant>
    </vt:vector>
  </HeadingPairs>
  <TitlesOfParts>
    <vt:vector size="51" baseType="lpstr">
      <vt:lpstr>ใบผ่าน1</vt:lpstr>
      <vt:lpstr>ใบผ่าน 2</vt:lpstr>
      <vt:lpstr>ใบผ่าน 3</vt:lpstr>
      <vt:lpstr>ใบผ่านทั่วไป1</vt:lpstr>
      <vt:lpstr>ใบผ่านทั่วไป1 (2)</vt:lpstr>
      <vt:lpstr>ใบผ่านทั่วไป2</vt:lpstr>
      <vt:lpstr>เงินรับฝาก</vt:lpstr>
      <vt:lpstr>รายจ่ายค้างจ่าย</vt:lpstr>
      <vt:lpstr>เงินอุดหนุนทั่วไป</vt:lpstr>
      <vt:lpstr>รายจ่ายรอจ่าย</vt:lpstr>
      <vt:lpstr>จ่ายขาดเงินสะสม</vt:lpstr>
      <vt:lpstr>บัญชีรายรับ</vt:lpstr>
      <vt:lpstr>รายงานรับ-จ่าย</vt:lpstr>
      <vt:lpstr>งบทดลอง</vt:lpstr>
      <vt:lpstr>งบรับจ่าย</vt:lpstr>
      <vt:lpstr>งบกระทบยอด</vt:lpstr>
      <vt:lpstr>กรุงไทย</vt:lpstr>
      <vt:lpstr>01552-2-55731-1</vt:lpstr>
      <vt:lpstr>01552-2-57099-1</vt:lpstr>
      <vt:lpstr>01552-2-58578-2</vt:lpstr>
      <vt:lpstr>05424050559-1</vt:lpstr>
      <vt:lpstr>3001-0-25263-7</vt:lpstr>
      <vt:lpstr>หนังสือส่ง</vt:lpstr>
      <vt:lpstr>หนังสือส่ง (3)</vt:lpstr>
      <vt:lpstr>หนังสือส่ง (4)</vt:lpstr>
      <vt:lpstr>งบทดลอง (2)</vt:lpstr>
      <vt:lpstr>'01552-2-55731-1'!Print_Area</vt:lpstr>
      <vt:lpstr>'01552-2-57099-1'!Print_Area</vt:lpstr>
      <vt:lpstr>'01552-2-58578-2'!Print_Area</vt:lpstr>
      <vt:lpstr>'05424050559-1'!Print_Area</vt:lpstr>
      <vt:lpstr>'3001-0-25263-7'!Print_Area</vt:lpstr>
      <vt:lpstr>กรุงไทย!Print_Area</vt:lpstr>
      <vt:lpstr>งบทดลอง!Print_Area</vt:lpstr>
      <vt:lpstr>'งบทดลอง (2)'!Print_Area</vt:lpstr>
      <vt:lpstr>งบรับจ่าย!Print_Area</vt:lpstr>
      <vt:lpstr>เงินรับฝาก!Print_Area</vt:lpstr>
      <vt:lpstr>เงินอุดหนุนทั่วไป!Print_Area</vt:lpstr>
      <vt:lpstr>บัญชีรายรับ!Print_Area</vt:lpstr>
      <vt:lpstr>'ใบผ่าน 2'!Print_Area</vt:lpstr>
      <vt:lpstr>'ใบผ่าน 3'!Print_Area</vt:lpstr>
      <vt:lpstr>ใบผ่าน1!Print_Area</vt:lpstr>
      <vt:lpstr>ใบผ่านทั่วไป1!Print_Area</vt:lpstr>
      <vt:lpstr>'ใบผ่านทั่วไป1 (2)'!Print_Area</vt:lpstr>
      <vt:lpstr>ใบผ่านทั่วไป2!Print_Area</vt:lpstr>
      <vt:lpstr>'รายงานรับ-จ่าย'!Print_Area</vt:lpstr>
      <vt:lpstr>จ่ายขาดเงินสะสม!Print_Titles</vt:lpstr>
      <vt:lpstr>บัญชีรายรับ!Print_Titles</vt:lpstr>
      <vt:lpstr>'ใบผ่าน 2'!Print_Titles</vt:lpstr>
      <vt:lpstr>'ใบผ่าน 3'!Print_Titles</vt:lpstr>
      <vt:lpstr>รายจ่ายค้างจ่าย!Print_Titles</vt:lpstr>
      <vt:lpstr>รายจ่ายรอจ่าย!Print_Titles</vt:lpstr>
    </vt:vector>
  </TitlesOfParts>
  <Company>Dream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User</cp:lastModifiedBy>
  <cp:lastPrinted>2020-06-25T09:02:53Z</cp:lastPrinted>
  <dcterms:created xsi:type="dcterms:W3CDTF">2009-06-02T12:44:59Z</dcterms:created>
  <dcterms:modified xsi:type="dcterms:W3CDTF">2020-06-25T09:09:30Z</dcterms:modified>
</cp:coreProperties>
</file>